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8800" windowHeight="12585" tabRatio="690" activeTab="2"/>
  </bookViews>
  <sheets>
    <sheet name="Dokumentation" sheetId="1" r:id="rId1"/>
    <sheet name="Ges-Qualifikation" sheetId="2" r:id="rId2"/>
    <sheet name="Zulassung" sheetId="3" r:id="rId3"/>
    <sheet name="Belegkontrolle" sheetId="4" r:id="rId4"/>
    <sheet name="Punkte-Berechnung" sheetId="5" r:id="rId5"/>
    <sheet name="Fehler" sheetId="6" r:id="rId6"/>
    <sheet name="Abiturprüfung" sheetId="7" r:id="rId7"/>
    <sheet name="Schr+mü_Prfg" sheetId="8" r:id="rId8"/>
    <sheet name="Schr+mü_Prfg_mit_BLL" sheetId="9" r:id="rId9"/>
    <sheet name="Notenschnitt" sheetId="10" r:id="rId10"/>
  </sheets>
  <externalReferences>
    <externalReference r:id="rId13"/>
  </externalReferences>
  <definedNames>
    <definedName name="_xlnm.Print_Area" localSheetId="6">'Abiturprüfung'!$E$3:$U$26</definedName>
    <definedName name="_xlnm.Print_Area" localSheetId="4">'Punkte-Berechnung'!$B$1:$S$41</definedName>
    <definedName name="_xlnm.Print_Area" localSheetId="2">'Zulassung'!$B$41:$Q$80</definedName>
    <definedName name="Fächerzahl">#REF!</definedName>
    <definedName name="Fächerzahl_10">#REF!</definedName>
    <definedName name="Folgeprinzip">#REF!</definedName>
    <definedName name="Folgeprinzip_10">#REF!</definedName>
    <definedName name="FS_doppelt" localSheetId="4">#REF!</definedName>
    <definedName name="FS_doppelt" localSheetId="8">'[1]Fachwahlen_St12'!#REF!</definedName>
    <definedName name="FS_doppelt">#REF!</definedName>
    <definedName name="FS_doppelt_10" localSheetId="4">#REF!</definedName>
    <definedName name="FS_doppelt_10">#REF!</definedName>
    <definedName name="FS_doppelt_6" localSheetId="4">#REF!</definedName>
    <definedName name="FS_doppelt_6" localSheetId="8">#REF!</definedName>
    <definedName name="FS_doppelt_6">#REF!</definedName>
    <definedName name="GSW">#REF!</definedName>
    <definedName name="KuMu11">#REF!</definedName>
    <definedName name="KuMu12">#REF!</definedName>
    <definedName name="NW1">#REF!</definedName>
    <definedName name="NW2">#REF!</definedName>
    <definedName name="Pflicht_fehlt">#REF!</definedName>
    <definedName name="Pflicht_fehlt_10">#REF!</definedName>
    <definedName name="Rel">#REF!</definedName>
    <definedName name="SchuelerLeistungsdaten_10">#REF!</definedName>
    <definedName name="Sek1_FS">#REF!</definedName>
    <definedName name="Sek2_FS">#REF!</definedName>
    <definedName name="Wahl_korrekt">#REF!</definedName>
    <definedName name="Wahl_korrekt_10">#REF!</definedName>
  </definedNames>
  <calcPr fullCalcOnLoad="1"/>
</workbook>
</file>

<file path=xl/comments3.xml><?xml version="1.0" encoding="utf-8"?>
<comments xmlns="http://schemas.openxmlformats.org/spreadsheetml/2006/main">
  <authors>
    <author>argocd</author>
    <author>XYZ</author>
    <author>U.Thei?en</author>
  </authors>
  <commentList>
    <comment ref="A1" authorId="0">
      <text>
        <r>
          <rPr>
            <b/>
            <sz val="10"/>
            <color indexed="8"/>
            <rFont val="Times New Roman"/>
            <family val="1"/>
          </rPr>
          <t xml:space="preserve">Hier werden alle angerechneten </t>
        </r>
        <r>
          <rPr>
            <b/>
            <sz val="10"/>
            <color indexed="10"/>
            <rFont val="Times New Roman"/>
            <family val="1"/>
          </rPr>
          <t>Grund</t>
        </r>
        <r>
          <rPr>
            <b/>
            <sz val="10"/>
            <color indexed="8"/>
            <rFont val="Times New Roman"/>
            <family val="1"/>
          </rPr>
          <t xml:space="preserve">kurse
von 11.1 bis 12.2 in einfacher Wertung aufaddiert.
Ausgenommen sind die in Klammern gesetzten Kurse.
</t>
        </r>
      </text>
    </comment>
    <comment ref="A1" authorId="0">
      <text>
        <r>
          <rPr>
            <b/>
            <sz val="10"/>
            <color indexed="8"/>
            <rFont val="Times New Roman"/>
            <family val="1"/>
          </rPr>
          <t>Fächer dieses Feldes:
D, alle Fremdsprachen
Ku, Mu, (Li), (IV)
Mind. zwei Fächer der Gruppe D, M,  Fremdsprachen
müssen Abiturfächer sein</t>
        </r>
      </text>
    </comment>
    <comment ref="A1" authorId="0">
      <text>
        <r>
          <rPr>
            <b/>
            <sz val="10"/>
            <color indexed="8"/>
            <rFont val="Times New Roman"/>
            <family val="1"/>
          </rPr>
          <t>Fächer dieses Feldes:
Ge, Ek, Phil., Sw, Pa
Mind. eines dieser Fächer oder Religion muss Abiturfach sein</t>
        </r>
      </text>
    </comment>
    <comment ref="A1" authorId="0">
      <text>
        <r>
          <rPr>
            <b/>
            <sz val="10"/>
            <color indexed="8"/>
            <rFont val="Times New Roman"/>
            <family val="1"/>
          </rPr>
          <t>Fächer diese Feldes:
M, Bi, Ch, Ph, (If)
Mind. eines dieser Fächer muss Abiturfach sein</t>
        </r>
      </text>
    </comment>
    <comment ref="B6" authorId="1">
      <text>
        <r>
          <rPr>
            <b/>
            <sz val="8"/>
            <rFont val="Tahoma"/>
            <family val="2"/>
          </rPr>
          <t>Die 3 Aufgabenfelder sind: 
I   -sprachlich-literarisch-künstlerisches Feld
II  -gesellschaftswissenschaftliches Feld
III -math.-naturwiss.-technisches Feld</t>
        </r>
      </text>
    </comment>
    <comment ref="H6" authorId="1">
      <text>
        <r>
          <rPr>
            <b/>
            <sz val="8"/>
            <rFont val="Tahoma"/>
            <family val="2"/>
          </rPr>
          <t>Geben Sie in den hellgrauen Bereich die in den einzelnen Halbjahren erreichten Punkte in einfacher Wertung ein.</t>
        </r>
      </text>
    </comment>
    <comment ref="AC8" authorId="1">
      <text>
        <r>
          <rPr>
            <b/>
            <sz val="8"/>
            <rFont val="Tahoma"/>
            <family val="2"/>
          </rPr>
          <t>Punkte der beiden Leistungskurse in doppelter Wertung</t>
        </r>
      </text>
    </comment>
    <comment ref="B9" authorId="1">
      <text>
        <r>
          <rPr>
            <b/>
            <sz val="8"/>
            <rFont val="Tahoma"/>
            <family val="2"/>
          </rPr>
          <t>Fächer dieses Feldes:
D, alle Fremdsprachen
Ku, Mu, (Li), (IV)
Mind. zwei Fächer der Gruppe D, M,  Fremdsprachen
müssen Abiturfächer sein</t>
        </r>
      </text>
    </comment>
    <comment ref="D9" authorId="1">
      <text>
        <r>
          <rPr>
            <b/>
            <sz val="8"/>
            <rFont val="Tahoma"/>
            <family val="2"/>
          </rPr>
          <t>4 Deutsch-Kurse müssen gewertet werden.</t>
        </r>
      </text>
    </comment>
    <comment ref="D10" authorId="1">
      <text>
        <r>
          <rPr>
            <b/>
            <sz val="8"/>
            <rFont val="Tahoma"/>
            <family val="2"/>
          </rPr>
          <t>4 Kurse einer Fremdsprache müssen gewertet werden.</t>
        </r>
      </text>
    </comment>
    <comment ref="D11" authorId="1">
      <text>
        <r>
          <rPr>
            <b/>
            <sz val="8"/>
            <rFont val="Tahoma"/>
            <family val="2"/>
          </rPr>
          <t>Im 9. Pflichtfach (2. Fremdspr. oder 2. NW) müssen 4 Kurse belegt und die beiden Kurse aus Q2 gewertet werden.</t>
        </r>
      </text>
    </comment>
    <comment ref="D13" authorId="2">
      <text>
        <r>
          <rPr>
            <b/>
            <sz val="8"/>
            <rFont val="Tahoma"/>
            <family val="2"/>
          </rPr>
          <t>Hier kann nur eine Fremdsprache eingegeben werden, die nach EF nicht weitergeführt wird.</t>
        </r>
      </text>
    </comment>
    <comment ref="D14" authorId="1">
      <text>
        <r>
          <rPr>
            <b/>
            <sz val="8"/>
            <rFont val="Tahoma"/>
            <family val="2"/>
          </rPr>
          <t>2 Kurse in Ku/Mu müssen belegt werden. 
Sie können durch max. 2 Kurse in Lit./Orch./Chor ersetzt werden.
Weitere Belegung von Orch./Chor nur als AG</t>
        </r>
      </text>
    </comment>
    <comment ref="B17" authorId="1">
      <text>
        <r>
          <rPr>
            <b/>
            <sz val="8"/>
            <rFont val="Tahoma"/>
            <family val="2"/>
          </rPr>
          <t>Fächer dieses Feldes:
Ge, Ek, Phil., Sw, Pa
Mind. eines dieser Fächer oder Religion muss Abiturfach sein</t>
        </r>
      </text>
    </comment>
    <comment ref="D17" authorId="1">
      <text>
        <r>
          <rPr>
            <b/>
            <sz val="8"/>
            <rFont val="Tahoma"/>
            <family val="2"/>
          </rPr>
          <t>4 Kurse einer Gesellschaftswissenschaft müssen gewertet werden.</t>
        </r>
        <r>
          <rPr>
            <sz val="8"/>
            <rFont val="Tahoma"/>
            <family val="2"/>
          </rPr>
          <t xml:space="preserve">
Wird PL nicht durchgängig belegt, bitte unter Rel eintragen!</t>
        </r>
      </text>
    </comment>
    <comment ref="AG17" authorId="1">
      <text>
        <r>
          <rPr>
            <b/>
            <sz val="8"/>
            <rFont val="Tahoma"/>
            <family val="2"/>
          </rPr>
          <t>Berechnung:
Gesamtpunktzahl : Anzahl der gewerteten Kurse * 40
(Lk's zählen doppelt)
siehe Zeilen unter der Tabelle!</t>
        </r>
      </text>
    </comment>
    <comment ref="D21" authorId="1">
      <text>
        <r>
          <rPr>
            <b/>
            <sz val="8"/>
            <rFont val="Tahoma"/>
            <family val="2"/>
          </rPr>
          <t xml:space="preserve">Zusatzkurse werden automatisch gesetzt, solange keine Punkte in je 2 Kursen in Ge/SW eingetragen  sind.
</t>
        </r>
      </text>
    </comment>
    <comment ref="B23" authorId="1">
      <text>
        <r>
          <rPr>
            <b/>
            <sz val="8"/>
            <rFont val="Tahoma"/>
            <family val="2"/>
          </rPr>
          <t>Fächer diese Feldes:
M, Bi, Ch, Ph, (If)
Mind. eines dieser Fächer muss Abiturfach sein</t>
        </r>
      </text>
    </comment>
    <comment ref="D23" authorId="1">
      <text>
        <r>
          <rPr>
            <b/>
            <sz val="8"/>
            <rFont val="Tahoma"/>
            <family val="2"/>
          </rPr>
          <t>4 Kurse Mathematik müssen gewertet werden.</t>
        </r>
      </text>
    </comment>
    <comment ref="D24" authorId="1">
      <text>
        <r>
          <rPr>
            <b/>
            <sz val="8"/>
            <rFont val="Tahoma"/>
            <family val="2"/>
          </rPr>
          <t>4 Kurse einer Naturwissenschaft müssen gewertet werden.</t>
        </r>
      </text>
    </comment>
    <comment ref="D25" authorId="1">
      <text>
        <r>
          <rPr>
            <b/>
            <sz val="8"/>
            <rFont val="Tahoma"/>
            <family val="2"/>
          </rPr>
          <t>Im 9. Pflichtfach (2. Fremdspr. oder 2. NW) müssen 4 Kurse belegt und die beiden Kurse aus Q2 gewertet werden.
Informatik ggf. bitte in der letzten Zeile der NW eintragen!</t>
        </r>
      </text>
    </comment>
    <comment ref="H31" authorId="2">
      <text>
        <r>
          <rPr>
            <b/>
            <sz val="10"/>
            <rFont val="Tahoma"/>
            <family val="2"/>
          </rPr>
          <t>Eingabe der Punktzahl in beiden Halbjahren des Kurses! 
Dadurch erfolgt die doppelte Gewichtung.</t>
        </r>
      </text>
    </comment>
    <comment ref="AB39" authorId="1">
      <text>
        <r>
          <rPr>
            <b/>
            <sz val="8"/>
            <rFont val="Tahoma"/>
            <family val="2"/>
          </rPr>
          <t>Berechnung:
Punktzahl aus voriger Zeile : Anzahl der gewerteten Kurse * 40
(Lk's zählen doppelt)</t>
        </r>
      </text>
    </comment>
    <comment ref="D28" authorId="2">
      <text>
        <r>
          <rPr>
            <b/>
            <sz val="10"/>
            <rFont val="Tahoma"/>
            <family val="2"/>
          </rPr>
          <t xml:space="preserve">Wird Religion </t>
        </r>
        <r>
          <rPr>
            <b/>
            <u val="single"/>
            <sz val="10"/>
            <rFont val="Tahoma"/>
            <family val="2"/>
          </rPr>
          <t>nicht</t>
        </r>
        <r>
          <rPr>
            <b/>
            <sz val="10"/>
            <rFont val="Tahoma"/>
            <family val="2"/>
          </rPr>
          <t xml:space="preserve"> belegt, muss hier PL (Philosophie) eingetragen werden!</t>
        </r>
      </text>
    </comment>
    <comment ref="D22" authorId="1">
      <text>
        <r>
          <rPr>
            <b/>
            <sz val="8"/>
            <rFont val="Tahoma"/>
            <family val="2"/>
          </rPr>
          <t xml:space="preserve">Zusatzkurse werden automatisch gesetzt, solange keine Punkte in je 2 Kursen in Ge/SW eingetragen  sind.
</t>
        </r>
      </text>
    </comment>
  </commentList>
</comments>
</file>

<file path=xl/comments5.xml><?xml version="1.0" encoding="utf-8"?>
<comments xmlns="http://schemas.openxmlformats.org/spreadsheetml/2006/main">
  <authors>
    <author>XYZ</author>
  </authors>
  <commentList>
    <comment ref="CY9" authorId="0">
      <text>
        <r>
          <rPr>
            <b/>
            <sz val="8"/>
            <rFont val="Tahoma"/>
            <family val="2"/>
          </rPr>
          <t>Punkte der beiden Leistungskurse in doppelter Wertung</t>
        </r>
      </text>
    </comment>
    <comment ref="CX40" authorId="0">
      <text>
        <r>
          <rPr>
            <b/>
            <sz val="8"/>
            <rFont val="Tahoma"/>
            <family val="2"/>
          </rPr>
          <t>Berechnung:
Punktzahl aus voriger Zeile : Anzahl der gewerteten Kurse * 40
(Lk's zählen doppelt)</t>
        </r>
      </text>
    </comment>
    <comment ref="EC9" authorId="0">
      <text>
        <r>
          <rPr>
            <b/>
            <sz val="8"/>
            <rFont val="Tahoma"/>
            <family val="2"/>
          </rPr>
          <t>Punkte der beiden Leistungskurse in doppelter Wertung</t>
        </r>
      </text>
    </comment>
    <comment ref="EB40" authorId="0">
      <text>
        <r>
          <rPr>
            <b/>
            <sz val="8"/>
            <rFont val="Tahoma"/>
            <family val="2"/>
          </rPr>
          <t>Berechnung:
Punktzahl aus voriger Zeile : Anzahl der gewerteten Kurse * 40
(Lk's zählen doppelt)</t>
        </r>
      </text>
    </comment>
    <comment ref="GG9" authorId="0">
      <text>
        <r>
          <rPr>
            <b/>
            <sz val="8"/>
            <rFont val="Tahoma"/>
            <family val="2"/>
          </rPr>
          <t>Punkte der beiden Leistungskurse in doppelter Wertung</t>
        </r>
      </text>
    </comment>
    <comment ref="GF40" authorId="0">
      <text>
        <r>
          <rPr>
            <b/>
            <sz val="8"/>
            <rFont val="Tahoma"/>
            <family val="2"/>
          </rPr>
          <t>Berechnung:
Punktzahl aus voriger Zeile : Anzahl der gewerteten Kurse * 40
(Lk's zählen doppelt)</t>
        </r>
      </text>
    </comment>
    <comment ref="HM9" authorId="0">
      <text>
        <r>
          <rPr>
            <b/>
            <sz val="8"/>
            <rFont val="Tahoma"/>
            <family val="2"/>
          </rPr>
          <t>Punkte der beiden Leistungskurse in doppelter Wertung</t>
        </r>
      </text>
    </comment>
    <comment ref="HL40" authorId="0">
      <text>
        <r>
          <rPr>
            <b/>
            <sz val="8"/>
            <rFont val="Tahoma"/>
            <family val="2"/>
          </rPr>
          <t>Berechnung:
Punktzahl aus voriger Zeile : Anzahl der gewerteten Kurse * 40
(Lk's zählen doppelt)</t>
        </r>
      </text>
    </comment>
    <comment ref="CY60" authorId="0">
      <text>
        <r>
          <rPr>
            <b/>
            <sz val="8"/>
            <rFont val="Tahoma"/>
            <family val="2"/>
          </rPr>
          <t>Punkte der beiden Leistungskurse in doppelter Wertung</t>
        </r>
      </text>
    </comment>
    <comment ref="CX91" authorId="0">
      <text>
        <r>
          <rPr>
            <b/>
            <sz val="8"/>
            <rFont val="Tahoma"/>
            <family val="2"/>
          </rPr>
          <t>Berechnung:
Punktzahl aus voriger Zeile : Anzahl der gewerteten Kurse * 40
(Lk's zählen doppelt)</t>
        </r>
      </text>
    </comment>
  </commentList>
</comments>
</file>

<file path=xl/comments7.xml><?xml version="1.0" encoding="utf-8"?>
<comments xmlns="http://schemas.openxmlformats.org/spreadsheetml/2006/main">
  <authors>
    <author>argocd</author>
    <author>U.Thei?en</author>
  </authors>
  <commentList>
    <comment ref="A1" authorId="0">
      <text>
        <r>
          <rPr>
            <b/>
            <sz val="9"/>
            <color indexed="8"/>
            <rFont val="Times New Roman"/>
            <family val="1"/>
          </rPr>
          <t>Mittelwert der Punkte der schr. Abiturfächer aus 12.1 bis 13.2.</t>
        </r>
      </text>
    </comment>
    <comment ref="J12" authorId="1">
      <text>
        <r>
          <rPr>
            <b/>
            <sz val="8"/>
            <rFont val="Tahoma"/>
            <family val="2"/>
          </rPr>
          <t>Das Abitur ist bestanden, wenn:
- mind. 100 Punkte im Abiturbereich
- in mind. zwei der vier Abiturfächer
  sind 25 (mit BLL 20) oder mehr
  Punkte erreicht, 
  davon ist mind. ein LK</t>
        </r>
      </text>
    </comment>
    <comment ref="G11" authorId="1">
      <text>
        <r>
          <rPr>
            <b/>
            <sz val="8"/>
            <rFont val="Tahoma"/>
            <family val="2"/>
          </rPr>
          <t>Berechnung der gesamten Prüfungsleistung
in einem schr. Prüfungsfach:
1. Fall (ohne mündl. Prüfung):
Abiturklausurpunkte * 5
2. Fall (mit mündl. Prüfung):
( 2 * Klausur + mü Prüf.) : 3 * 5</t>
        </r>
        <r>
          <rPr>
            <sz val="8"/>
            <rFont val="Tahoma"/>
            <family val="2"/>
          </rPr>
          <t xml:space="preserve">
</t>
        </r>
        <r>
          <rPr>
            <b/>
            <sz val="8"/>
            <rFont val="Tahoma"/>
            <family val="2"/>
          </rPr>
          <t>Mit besonderer Lernleistung:
1. Fall (ohne mündl. Prüfung):
Abiturklausurpunkte * 4
2. Fall (mit mündl. Prüfung):
( 2 * Klausur + mü Prüf.) : 3 * 4</t>
        </r>
      </text>
    </comment>
    <comment ref="G9" authorId="1">
      <text>
        <r>
          <rPr>
            <b/>
            <sz val="8"/>
            <rFont val="Tahoma"/>
            <family val="2"/>
          </rPr>
          <t>Wenn die schr. Prüfungsleistung von der durchschnittlichen Punktzahl um 4 oder mehr Punkte abweicht, dann wird eine mündl. (Abweichungs-)Prüfung angesetzt.</t>
        </r>
        <r>
          <rPr>
            <sz val="8"/>
            <rFont val="Tahoma"/>
            <family val="2"/>
          </rPr>
          <t xml:space="preserve">
</t>
        </r>
      </text>
    </comment>
    <comment ref="G10" authorId="1">
      <text>
        <r>
          <rPr>
            <b/>
            <sz val="8"/>
            <rFont val="Tahoma"/>
            <family val="2"/>
          </rPr>
          <t>Mündl. Prüfungen sind anzusetzen, 
a) als Abweichungsprüfung (s.o.)
b) als Bestehensprüfung (siehe
     Kommentar zu Summe der Punkte)
c) bei freiwilliger Meldung (Antrag)</t>
        </r>
        <r>
          <rPr>
            <sz val="8"/>
            <rFont val="Tahoma"/>
            <family val="2"/>
          </rPr>
          <t xml:space="preserve">
</t>
        </r>
      </text>
    </comment>
    <comment ref="J20" authorId="1">
      <text>
        <r>
          <rPr>
            <b/>
            <sz val="8"/>
            <rFont val="Tahoma"/>
            <family val="2"/>
          </rPr>
          <t>Berechnung nach der Formel: 
17/3 - ( Punktzahl  : 180 )
Es wird grundsätzlich abgerundet!
( siehe auch Tab.  Notenschnitt )</t>
        </r>
      </text>
    </comment>
  </commentList>
</comments>
</file>

<file path=xl/sharedStrings.xml><?xml version="1.0" encoding="utf-8"?>
<sst xmlns="http://schemas.openxmlformats.org/spreadsheetml/2006/main" count="986" uniqueCount="537">
  <si>
    <r>
      <t>Gymnasium</t>
    </r>
    <r>
      <rPr>
        <sz val="23"/>
        <rFont val="Verdana"/>
        <family val="2"/>
      </rPr>
      <t xml:space="preserve"> </t>
    </r>
    <r>
      <rPr>
        <sz val="22"/>
        <rFont val="Verdana"/>
        <family val="2"/>
      </rPr>
      <t>an der Gartenstraße</t>
    </r>
  </si>
  <si>
    <t>UT</t>
  </si>
  <si>
    <t>www.gymga.de/</t>
  </si>
  <si>
    <t>E-Mail: projekt@gymga.de</t>
  </si>
  <si>
    <r>
      <t xml:space="preserve">Dokumentation  </t>
    </r>
    <r>
      <rPr>
        <sz val="11"/>
        <rFont val="Arial"/>
        <family val="2"/>
      </rPr>
      <t>-  die Tabellen</t>
    </r>
  </si>
  <si>
    <t>Tabellen für den verkürzten Bildungsgang (G8) !</t>
  </si>
  <si>
    <t>Zulassung</t>
  </si>
  <si>
    <t>Gesamtqualifikation</t>
  </si>
  <si>
    <t>Abiturprüfung</t>
  </si>
  <si>
    <t>Eintragung der Ergebnisse von schriftlichen und mündlichen Abiturprüfungen. Das Programm ermittelt, ob ggf. weitere mündl. Prüfungen erforderlich sind oder die Abiturprüfung bestanden ist, und berechnet die Abiturdurchschnittsnote.</t>
  </si>
  <si>
    <r>
      <t xml:space="preserve">Erläuterung zur Ermittlung der Punktzahl bei schriftlicher </t>
    </r>
    <r>
      <rPr>
        <b/>
        <sz val="11"/>
        <rFont val="Arial"/>
        <family val="2"/>
      </rPr>
      <t>und</t>
    </r>
    <r>
      <rPr>
        <sz val="11"/>
        <rFont val="Arial"/>
        <family val="2"/>
      </rPr>
      <t xml:space="preserve"> mündlicher Prüfung in einem Fach</t>
    </r>
  </si>
  <si>
    <t>Abiturdurchschnitt</t>
  </si>
  <si>
    <t>Zuordnung der Abiturdurchschnittsnote zur erreichten Gesamtpunktzahl</t>
  </si>
  <si>
    <t>Viel Spaß beim Ausprobieren!</t>
  </si>
  <si>
    <t>Udo Theißen</t>
  </si>
  <si>
    <t>U. Theißen      Gymnasium an der Gartenstraße         Mönchengladbach</t>
  </si>
  <si>
    <t>Stand:</t>
  </si>
  <si>
    <t>Kurswahl</t>
  </si>
  <si>
    <t>Wochenstunden</t>
  </si>
  <si>
    <t>Abiturzulassung</t>
  </si>
  <si>
    <t>E</t>
  </si>
  <si>
    <t>Abi-fach</t>
  </si>
  <si>
    <t>Fach</t>
  </si>
  <si>
    <t>EF</t>
  </si>
  <si>
    <t>Q1</t>
  </si>
  <si>
    <t>Q2</t>
  </si>
  <si>
    <t>belegte</t>
  </si>
  <si>
    <t>L</t>
  </si>
  <si>
    <t>10.1</t>
  </si>
  <si>
    <t>10.2</t>
  </si>
  <si>
    <t>11.1</t>
  </si>
  <si>
    <t>11.2</t>
  </si>
  <si>
    <t>12.1</t>
  </si>
  <si>
    <t>12.2</t>
  </si>
  <si>
    <t>Kurse</t>
  </si>
  <si>
    <t>F</t>
  </si>
  <si>
    <t>I</t>
  </si>
  <si>
    <t>Sprachen</t>
  </si>
  <si>
    <t>D</t>
  </si>
  <si>
    <t>S0</t>
  </si>
  <si>
    <t>KU</t>
  </si>
  <si>
    <t>künstl.-musische Fächer</t>
  </si>
  <si>
    <t>LI</t>
  </si>
  <si>
    <t>IV</t>
  </si>
  <si>
    <t>II</t>
  </si>
  <si>
    <t>Gesellschafts-wiss.</t>
  </si>
  <si>
    <t>GE</t>
  </si>
  <si>
    <t>PA</t>
  </si>
  <si>
    <t>EK</t>
  </si>
  <si>
    <t>PL</t>
  </si>
  <si>
    <t>SW</t>
  </si>
  <si>
    <t>III</t>
  </si>
  <si>
    <t>math.-naturwiss. Fächer</t>
  </si>
  <si>
    <t>M</t>
  </si>
  <si>
    <t>BI</t>
  </si>
  <si>
    <t>CH</t>
  </si>
  <si>
    <t>KR</t>
  </si>
  <si>
    <t>PH</t>
  </si>
  <si>
    <t>SP</t>
  </si>
  <si>
    <t>IF</t>
  </si>
  <si>
    <t>ER</t>
  </si>
  <si>
    <t>Anz Kurse</t>
  </si>
  <si>
    <t>Defizite</t>
  </si>
  <si>
    <t>0 Punkte</t>
  </si>
  <si>
    <t>GK</t>
  </si>
  <si>
    <t>LK</t>
  </si>
  <si>
    <t>P u n k t e</t>
  </si>
  <si>
    <t>FS</t>
  </si>
  <si>
    <t>Ku/Mu</t>
  </si>
  <si>
    <t>Gesamtpunkte:</t>
  </si>
  <si>
    <t>AT</t>
  </si>
  <si>
    <t>NW</t>
  </si>
  <si>
    <t>Rel</t>
  </si>
  <si>
    <t>Belegte Kurse (min. 38)</t>
  </si>
  <si>
    <t>200P</t>
  </si>
  <si>
    <t>Def. Gk</t>
  </si>
  <si>
    <t>Def. Lk</t>
  </si>
  <si>
    <t>Anz 0 Pkte in Pflicht-GK's:</t>
  </si>
  <si>
    <t>Anz 0 Pkte in LK's:</t>
  </si>
  <si>
    <t>D43</t>
  </si>
  <si>
    <t>E43</t>
  </si>
  <si>
    <t>F43</t>
  </si>
  <si>
    <t>G43</t>
  </si>
  <si>
    <t>H43</t>
  </si>
  <si>
    <t>J43</t>
  </si>
  <si>
    <t>N43</t>
  </si>
  <si>
    <t>Die Anzahl der belegten Kurse muss mind. 38 sein!</t>
  </si>
  <si>
    <t>O43</t>
  </si>
  <si>
    <t>Die Anzahl der Wochenstunden darf nicht kleiner als 100 sein!</t>
  </si>
  <si>
    <t>W43</t>
  </si>
  <si>
    <t>AA43</t>
  </si>
  <si>
    <t>AC43</t>
  </si>
  <si>
    <t>Ein Fach kommt doppelt vor.</t>
  </si>
  <si>
    <t>AD43</t>
  </si>
  <si>
    <t>AE43</t>
  </si>
  <si>
    <t>AF43</t>
  </si>
  <si>
    <t>AG43</t>
  </si>
  <si>
    <t>AH43</t>
  </si>
  <si>
    <t>AI43</t>
  </si>
  <si>
    <t>AJ43</t>
  </si>
  <si>
    <t>AM43</t>
  </si>
  <si>
    <t>AP43</t>
  </si>
  <si>
    <t>AQ43</t>
  </si>
  <si>
    <t>2 Religions-/Philosophie- kurse belegen!</t>
  </si>
  <si>
    <t>AR43</t>
  </si>
  <si>
    <t>6 Sportkurse müssen belegt sein!                                             Ggf. 'AT' als Note eingeben</t>
  </si>
  <si>
    <t>AS43</t>
  </si>
  <si>
    <t>AT43</t>
  </si>
  <si>
    <t>2 Fächer der Gruppe D, M, Fremdsprache müssen Abiturfächer sein.</t>
  </si>
  <si>
    <t>Berechnung der Gesamtqualifikation</t>
  </si>
  <si>
    <t xml:space="preserve">UT </t>
  </si>
  <si>
    <t>Abiturbereich</t>
  </si>
  <si>
    <t>●</t>
  </si>
  <si>
    <t>Abitur- prüfung</t>
  </si>
  <si>
    <t>2 LK</t>
  </si>
  <si>
    <t>2 GK</t>
  </si>
  <si>
    <t>in 5-facher Wertung</t>
  </si>
  <si>
    <t>mind. 100 Punkte</t>
  </si>
  <si>
    <t>- bei 27 - 29 Gk insgesamt (incl. Lk) höchstens 7 Defizite</t>
  </si>
  <si>
    <t>- bei 30 - 32 Gk insgesamt (incl. Lk) höchstens 8 Defizite</t>
  </si>
  <si>
    <t>- mind. 200 Punkte</t>
  </si>
  <si>
    <t>- kein Pflichtkurs mit 0 Punkten</t>
  </si>
  <si>
    <t xml:space="preserve">    - höchstens 3 LK- Defizite</t>
  </si>
  <si>
    <t xml:space="preserve">     8 LK in 2-facher Wertung</t>
  </si>
  <si>
    <t xml:space="preserve">  27- 32 GK in 1-facher Wertung</t>
  </si>
  <si>
    <t>Leistungskursbereich</t>
  </si>
  <si>
    <t xml:space="preserve">    Grundkursbereich</t>
  </si>
  <si>
    <t>P r ü f u n g s l e i s t u n g</t>
  </si>
  <si>
    <t>1. Fach</t>
  </si>
  <si>
    <t>2. Fach</t>
  </si>
  <si>
    <t>3. Fach</t>
  </si>
  <si>
    <t>4. Fach</t>
  </si>
  <si>
    <t>Durchschnittspunkte</t>
  </si>
  <si>
    <t>Schr. Prüfung</t>
  </si>
  <si>
    <t>Abweichung</t>
  </si>
  <si>
    <t>Mündl. Prüfung</t>
  </si>
  <si>
    <t>Endpunkte</t>
  </si>
  <si>
    <t xml:space="preserve"> Summe der Punkte:</t>
  </si>
  <si>
    <t xml:space="preserve"> Gesamtpunkte aus Block I  (Zulassung)</t>
  </si>
  <si>
    <t xml:space="preserve"> Gesamtpunktzahl:</t>
  </si>
  <si>
    <t xml:space="preserve"> Durchschnittsnote</t>
  </si>
  <si>
    <t>schriftliche Prüfung</t>
  </si>
  <si>
    <t>Noten</t>
  </si>
  <si>
    <t xml:space="preserve">5 - </t>
  </si>
  <si>
    <t>5 +</t>
  </si>
  <si>
    <t xml:space="preserve">4 - </t>
  </si>
  <si>
    <t>4 +</t>
  </si>
  <si>
    <t xml:space="preserve">3 - </t>
  </si>
  <si>
    <t>3 +</t>
  </si>
  <si>
    <t xml:space="preserve">2 - </t>
  </si>
  <si>
    <t>2 +</t>
  </si>
  <si>
    <t xml:space="preserve">1 - </t>
  </si>
  <si>
    <t>1 +</t>
  </si>
  <si>
    <t>Punkte</t>
  </si>
  <si>
    <t>mündliche Prüfung</t>
  </si>
  <si>
    <t>Leistungen:</t>
  </si>
  <si>
    <t>Ergebnis der schr. Prüfung:</t>
  </si>
  <si>
    <t>* 5 =</t>
  </si>
  <si>
    <t>Ergebnis der mündl. Prüfung:</t>
  </si>
  <si>
    <t>Gesamtergebnis</t>
  </si>
  <si>
    <t>Zuordnungstabelle Punkte --&gt; Durchschnittsnote</t>
  </si>
  <si>
    <t>Punktebereich</t>
  </si>
  <si>
    <t>Note</t>
  </si>
  <si>
    <t>-</t>
  </si>
  <si>
    <t>Fehlermeldungen im Blatt</t>
  </si>
  <si>
    <t>Wochenstd</t>
  </si>
  <si>
    <t>AN43</t>
  </si>
  <si>
    <t>Fehler bei der Wahl                                                                      des 3./4. Abiturfachs!</t>
  </si>
  <si>
    <t>Literatur kann nur                                  in Stufe Q1 belegt werden.</t>
  </si>
  <si>
    <t>Anz Kurse belegt</t>
  </si>
  <si>
    <t>Q11</t>
  </si>
  <si>
    <t>Q12</t>
  </si>
  <si>
    <t>Q21</t>
  </si>
  <si>
    <t>Q22</t>
  </si>
  <si>
    <t>9.Pflichtf.</t>
  </si>
  <si>
    <t>L e i s t u n g e n  -                   P u n k t e   i n :</t>
  </si>
  <si>
    <t>Std.zahl</t>
  </si>
  <si>
    <t>WoStd</t>
  </si>
  <si>
    <t>GesAnz WoStd</t>
  </si>
  <si>
    <t>Anz belegte Lk</t>
  </si>
  <si>
    <t>Anz belegte Gk</t>
  </si>
  <si>
    <t>Wahl der Abifächer</t>
  </si>
  <si>
    <t>Abdeckung AufgFelder</t>
  </si>
  <si>
    <t>Wahl der Abiturfächer deckt nicht alle Aufgabenfelder ab!</t>
  </si>
  <si>
    <t>2 aus D,M,FS</t>
  </si>
  <si>
    <t>M43</t>
  </si>
  <si>
    <t>Es müssen 8 LK belegt sein.</t>
  </si>
  <si>
    <t>V43</t>
  </si>
  <si>
    <t>Ein 0-Punkte Kurs im Pflichtbereich bedeutet Rückgang.</t>
  </si>
  <si>
    <t>Ein 0-Punkte Kurs im LK-Bereich bedeutet Rückgang.</t>
  </si>
  <si>
    <t>I43</t>
  </si>
  <si>
    <t>Beleg 3/4Fach</t>
  </si>
  <si>
    <t>Vertie-fungs-fächer</t>
  </si>
  <si>
    <t>Pkt-summe Q1</t>
  </si>
  <si>
    <t>Pkt-summe 4HJ</t>
  </si>
  <si>
    <t>Fach-belegung</t>
  </si>
  <si>
    <t>Folge-prinzip</t>
  </si>
  <si>
    <t>neue FS kein LK</t>
  </si>
  <si>
    <t>K43</t>
  </si>
  <si>
    <t>Eine neue Fremdsprache kann nicht LK sein.</t>
  </si>
  <si>
    <t>F0</t>
  </si>
  <si>
    <t>Ekbl</t>
  </si>
  <si>
    <t>MU</t>
  </si>
  <si>
    <t>Li/IV kein Abifach</t>
  </si>
  <si>
    <t>Li</t>
  </si>
  <si>
    <t>L43</t>
  </si>
  <si>
    <t>LI bzw. IV kann kein Abiturfach sein.</t>
  </si>
  <si>
    <t>VTF</t>
  </si>
  <si>
    <t>VTF D</t>
  </si>
  <si>
    <t>VTF E</t>
  </si>
  <si>
    <t>VTF M</t>
  </si>
  <si>
    <t>mind. Bele-gung</t>
  </si>
  <si>
    <t>durch-gängige Bele-gung</t>
  </si>
  <si>
    <t>Bele-gung ok</t>
  </si>
  <si>
    <t>Opt. Ku/Mu Ge/Sw Rel</t>
  </si>
  <si>
    <t xml:space="preserve"> Fach</t>
  </si>
  <si>
    <t>andere durchg. FS, GSW, NW, Ku/Mu</t>
  </si>
  <si>
    <t>Bestimmung des Max einer durchg FS/NW und zweite aus Q2, falls kein Abifach</t>
  </si>
  <si>
    <t>(L)</t>
  </si>
  <si>
    <t>Nr des HJ</t>
  </si>
  <si>
    <t>max Pkte</t>
  </si>
  <si>
    <t>Zusfassung opt. Pflichtwertungen</t>
  </si>
  <si>
    <t>Summe der beiden</t>
  </si>
  <si>
    <r>
      <t xml:space="preserve">ergänzende Kurse </t>
    </r>
    <r>
      <rPr>
        <sz val="10"/>
        <color indexed="10"/>
        <rFont val="Arial"/>
        <family val="2"/>
      </rPr>
      <t>ohne</t>
    </r>
    <r>
      <rPr>
        <sz val="10"/>
        <rFont val="Arial"/>
        <family val="2"/>
      </rPr>
      <t xml:space="preserve"> Pflichtwertung</t>
    </r>
  </si>
  <si>
    <t>Anzahl der Kurse mit Pflichtwertung</t>
  </si>
  <si>
    <t>Gesamt</t>
  </si>
  <si>
    <t>max nichtgew.Kurs:</t>
  </si>
  <si>
    <t>2.größte</t>
  </si>
  <si>
    <t>3.größte</t>
  </si>
  <si>
    <t>4.größte</t>
  </si>
  <si>
    <t>5.größte</t>
  </si>
  <si>
    <t>6.größte</t>
  </si>
  <si>
    <t>7.größte</t>
  </si>
  <si>
    <t>8.größte</t>
  </si>
  <si>
    <t>9.größte</t>
  </si>
  <si>
    <t>10.größte</t>
  </si>
  <si>
    <t>11.größte</t>
  </si>
  <si>
    <t>12.größte</t>
  </si>
  <si>
    <t>Adresse</t>
  </si>
  <si>
    <t>1.größte</t>
  </si>
  <si>
    <t>Schnitt</t>
  </si>
  <si>
    <t>Punktsumme Pflichtbereich</t>
  </si>
  <si>
    <t>LK-Punkte</t>
  </si>
  <si>
    <t>Gewertete Kurse (35-40)</t>
  </si>
  <si>
    <t>Fach doppelt</t>
  </si>
  <si>
    <t xml:space="preserve">Ich habe zwar alle Berechnungen/Bestimmungen gründlich geprüft, doch -"Errare humanum est"- aus eventuellen Fehlern kann natürlich kein Rechtsanspruch hergeleitet werden. Für eine kurze Information über Fehler oder Verbesserungsvorschläge/Ergänzungen bin ich dankbar. </t>
  </si>
  <si>
    <t>Grafische Darstellung zur Erläuterung der Bedingungen für Zulassung und Gesamtqualifikation</t>
  </si>
  <si>
    <t>Eingabe der Fachwahlen und Wochenstunden für die Stufe EF (10)                                                                                        Eingabe der Punkte in den vier Halbjahren der Qualifikationsphase    -    Belegprüfung    -     Zulassungsberechnung</t>
  </si>
  <si>
    <t>In Q1 und Q2 belegte Kurse (min. 38):</t>
  </si>
  <si>
    <t>L e i s t u n g e n  -                      P u n k t e   i n :</t>
  </si>
  <si>
    <t>2. größte Pkte</t>
  </si>
  <si>
    <t>U43</t>
  </si>
  <si>
    <t>Im LK-Bereich sind maximal 3 Defizite erlaubt.</t>
  </si>
  <si>
    <t>Die Anzahl der maximal zulässigen Defizite ist überschritten.</t>
  </si>
  <si>
    <t>Das Folgeprinzip ist verletzt.</t>
  </si>
  <si>
    <t>Min der Pkte aus 4HJ</t>
  </si>
  <si>
    <t>Anzahl WoStd</t>
  </si>
  <si>
    <t>( Verhältnis 2 : 1   /   fünffache Gewichtung des Abiturbereichs )</t>
  </si>
  <si>
    <t>AJ</t>
  </si>
  <si>
    <t>AO</t>
  </si>
  <si>
    <t>AR</t>
  </si>
  <si>
    <t>Pkt-summe Q2</t>
  </si>
  <si>
    <t>Anz mögl. 9.Pflichtf.</t>
  </si>
  <si>
    <r>
      <t>Eingabe</t>
    </r>
    <r>
      <rPr>
        <sz val="14"/>
        <rFont val="Arial"/>
        <family val="2"/>
      </rPr>
      <t xml:space="preserve"> der Fächer, Abiturfächer und der erreichten Punkte -               Belegprüfung (Anz. der Wochenstunden u. belegten Kurse)</t>
    </r>
  </si>
  <si>
    <t>Aufg.-Feld</t>
  </si>
  <si>
    <t>T43</t>
  </si>
  <si>
    <t>Spanisch belegt:</t>
  </si>
  <si>
    <t>Lk 1</t>
  </si>
  <si>
    <t>Lk 2</t>
  </si>
  <si>
    <t>An-zahl FS/NW</t>
  </si>
  <si>
    <t>C43</t>
  </si>
  <si>
    <t>schr/mü</t>
  </si>
  <si>
    <t>Zur Optimierung des             9. Pflichtfachs alle durchgängig schriftl. belegten FS/NW angeben!</t>
  </si>
  <si>
    <t>Fehler im 9.Plichtf</t>
  </si>
  <si>
    <t>Fehler beim 9.Pflichtfach oder Abiturfach und Klausur</t>
  </si>
  <si>
    <t xml:space="preserve"> 11.1</t>
  </si>
  <si>
    <t xml:space="preserve"> 11.2</t>
  </si>
  <si>
    <t xml:space="preserve"> 12.1</t>
  </si>
  <si>
    <t xml:space="preserve"> 12.2</t>
  </si>
  <si>
    <t>opt. 2NW:</t>
  </si>
  <si>
    <t>opt. 2FS:</t>
  </si>
  <si>
    <t>Pkte ohne Fach</t>
  </si>
  <si>
    <t xml:space="preserve">1.FS </t>
  </si>
  <si>
    <t xml:space="preserve">9.Pflichtf </t>
  </si>
  <si>
    <t>optimales Pflichtfach Ku/Mu bzw. GSW</t>
  </si>
  <si>
    <t>optNW, wenn nur 1 gewertet</t>
  </si>
  <si>
    <t>2.FS aus Q2 mit 1.NW</t>
  </si>
  <si>
    <t>2.NW aus Q2 mit 1.FS</t>
  </si>
  <si>
    <t>2.FS aus Q2 mit 2.NW</t>
  </si>
  <si>
    <t>2.NW aus Q2 mit 2.FS</t>
  </si>
  <si>
    <t>2.FS aus Q2 mit 3.NW</t>
  </si>
  <si>
    <t>2.NW aus Q2 mit 3.FS</t>
  </si>
  <si>
    <t>AU</t>
  </si>
  <si>
    <t>AW</t>
  </si>
  <si>
    <t>AY</t>
  </si>
  <si>
    <t xml:space="preserve">Die Tabellen sollen den SchülerInnen in der Qualifikationsphase zur Berechnung der Abiturzulassung und zur Ermittlung der Abitur-Durchschnittsnote dienen. In der linken Tabelle im Blatt 'Zulassung' werden die erreichten Punkte eingegeben. An Hand dieser wird auch die Belegung von Kursen (mind. 38) sowie die Anzahl der Gesamtwochenstunden (mind. 102 - ggf. Unterschreitung um 2) in der Oberstufe geprüft. Dies kann jedoch nicht eine frühzeitige Planung der Schullaufbahn z.B. mittels Programm LUPO ersetzen. In der rechten Tabelle ('Zulassung') wird die Wertung von Kursen automatisch so durchgeführt, dass unter Beachtung der Pflichtwertungen die optimale Punktzahl berechnet wird. </t>
  </si>
  <si>
    <r>
      <t xml:space="preserve">Anzahl belegte Kurse in </t>
    </r>
    <r>
      <rPr>
        <sz val="8"/>
        <rFont val="Arial"/>
        <family val="2"/>
      </rPr>
      <t>Q1/Q2</t>
    </r>
  </si>
  <si>
    <t>R43</t>
  </si>
  <si>
    <t>WoStd EF2 -neue FS</t>
  </si>
  <si>
    <t>Min der beiden</t>
  </si>
  <si>
    <t>AL</t>
  </si>
  <si>
    <t>AN</t>
  </si>
  <si>
    <t>AP</t>
  </si>
  <si>
    <t>Wo St IV</t>
  </si>
  <si>
    <t>Keine Wochenstunden in EF im Fach LI oder IV.</t>
  </si>
  <si>
    <t>S43</t>
  </si>
  <si>
    <t>BC</t>
  </si>
  <si>
    <t>schr</t>
  </si>
  <si>
    <t>schrFS</t>
  </si>
  <si>
    <t>schrNW</t>
  </si>
  <si>
    <t>Q43</t>
  </si>
  <si>
    <t>Schriftlichkeit ohne Fach???</t>
  </si>
  <si>
    <t>AV</t>
  </si>
  <si>
    <t>AZ</t>
  </si>
  <si>
    <t>AX</t>
  </si>
  <si>
    <t>BA</t>
  </si>
  <si>
    <t>BE</t>
  </si>
  <si>
    <t>BG</t>
  </si>
  <si>
    <t>BK</t>
  </si>
  <si>
    <t>BM</t>
  </si>
  <si>
    <t>BO</t>
  </si>
  <si>
    <t>BQ</t>
  </si>
  <si>
    <t>BS</t>
  </si>
  <si>
    <t>BU</t>
  </si>
  <si>
    <t>BW</t>
  </si>
  <si>
    <t>min</t>
  </si>
  <si>
    <t>max</t>
  </si>
  <si>
    <t>BK15:17</t>
  </si>
  <si>
    <t>P43</t>
  </si>
  <si>
    <t>wenn eine NW Abifach, dann nur diese zur Auswahl</t>
  </si>
  <si>
    <t>durchgehende Fremdsprachen</t>
  </si>
  <si>
    <t>Fremdsprache, die nach EF endet</t>
  </si>
  <si>
    <t>Gesellsch.-wiss.</t>
  </si>
  <si>
    <t>1. NW</t>
  </si>
  <si>
    <t>weitere NW</t>
  </si>
  <si>
    <t>(nur als 2.NW)</t>
  </si>
  <si>
    <r>
      <t xml:space="preserve"> Gesamtpunkte aus Block II </t>
    </r>
    <r>
      <rPr>
        <b/>
        <sz val="9"/>
        <rFont val="Arial"/>
        <family val="2"/>
      </rPr>
      <t>(Abiturprüfungen)</t>
    </r>
  </si>
  <si>
    <t>Anzahl belegter Kurse in Q1/Q2</t>
  </si>
  <si>
    <t>s</t>
  </si>
  <si>
    <t>m</t>
  </si>
  <si>
    <t>Besondere Lern-leistung</t>
  </si>
  <si>
    <t>(mit besonderer Lernleistung 4-fach)</t>
  </si>
  <si>
    <t>ggf. besondere Lernleistung in 4-facher Wertung</t>
  </si>
  <si>
    <t>PJK</t>
  </si>
  <si>
    <t>Diese wird in die Berechnung der Quali nicht einbezogen und kann nur in der 4.Zeile der FS eingetragen werden</t>
  </si>
  <si>
    <t>Die weitere NW kann nicht 1. NW sein und muss deshalb in der 4.Zeile der NW eingetragen werden</t>
  </si>
  <si>
    <t>( Verhältnis 2 : 1   /   vierfache Gewichtung des Abiturbereichs )</t>
  </si>
  <si>
    <t>* 4 =</t>
  </si>
  <si>
    <t>mit besonderer Lernleistung</t>
  </si>
  <si>
    <r>
      <t xml:space="preserve">Erläuterung zur Ermittlung der Punktzahl bei schriftlicher </t>
    </r>
    <r>
      <rPr>
        <b/>
        <sz val="11"/>
        <rFont val="Arial"/>
        <family val="2"/>
      </rPr>
      <t>und</t>
    </r>
    <r>
      <rPr>
        <sz val="11"/>
        <rFont val="Arial"/>
        <family val="2"/>
      </rPr>
      <t xml:space="preserve"> mündlicher Prüfung in einem Fach mit besonderer Lernleistung</t>
    </r>
  </si>
  <si>
    <t>Mündl. Prüfung im 1.- 3. Fach mit BLL</t>
  </si>
  <si>
    <t>Mündl. Prüfung im 1.- 3. Fach</t>
  </si>
  <si>
    <t>Bezeichnung     der neuen Fremdsprachen nicht ändern! Löschen dagegen ist möglich.</t>
  </si>
  <si>
    <t>Wechsel Rel-&gt;Pl</t>
  </si>
  <si>
    <t>VTF F</t>
  </si>
  <si>
    <t>Pl als GSW und Rel</t>
  </si>
  <si>
    <t>Y43</t>
  </si>
  <si>
    <t>Wird Religion nicht bis einschl. Q1.2 belegt, muss Philosophie anstelle dessen eingetragen werden.</t>
  </si>
  <si>
    <t>Rel /PL</t>
  </si>
  <si>
    <t>AB43</t>
  </si>
  <si>
    <t>Religion oder Philosophie muss bis einschl. Q1.2 durchgängig belegt sein.</t>
  </si>
  <si>
    <t>zusätzl. Wochenstunden-Sonderfälle:</t>
  </si>
  <si>
    <t>Wenn Philosophie die Pflichtbelegung für Religion erfüllen soll, dann nur dort eintragen</t>
  </si>
  <si>
    <t>Vertiefungs-fächer</t>
  </si>
  <si>
    <t>Aufstockung auf 38 Kurse bei 8 Defiziten</t>
  </si>
  <si>
    <t>2 Folge-PJK mit gleicher Punktzahl</t>
  </si>
  <si>
    <t>AL43</t>
  </si>
  <si>
    <t>In zwei aufeinander folgenden Projektkursen gleiche Punktzahl eingeben!</t>
  </si>
  <si>
    <t>Im 3. und 4. Abiturfach müssen jeweils 4 Kurse in Q1/Q2 und 2 in EF belegt sein.</t>
  </si>
  <si>
    <t>PL Abifach ohne durchg GSW</t>
  </si>
  <si>
    <t>Z43</t>
  </si>
  <si>
    <t>2 Ersatzkurse für Religion aus dem Bereich GSW belegen</t>
  </si>
  <si>
    <t>nur 2x Punkt-eintrag für PJK</t>
  </si>
  <si>
    <t>kontin. Belegung</t>
  </si>
  <si>
    <t>Rel erfüllt + PL</t>
  </si>
  <si>
    <t xml:space="preserve">Anz Rel + PL </t>
  </si>
  <si>
    <t>EF1</t>
  </si>
  <si>
    <t>EF2</t>
  </si>
  <si>
    <t>1.Zeile</t>
  </si>
  <si>
    <t>2.Zeile</t>
  </si>
  <si>
    <t>gesamt</t>
  </si>
  <si>
    <t>Kurse,die den Schnitt verbessern</t>
  </si>
  <si>
    <t>Gesamt-punkte in einfacher Wertung</t>
  </si>
  <si>
    <t>Es müssen mind. 30 GK    (+ 8 LK) belegt sein.</t>
  </si>
  <si>
    <t>Defizite im Pflichtbereich</t>
  </si>
  <si>
    <t>Sp</t>
  </si>
  <si>
    <t>GSW</t>
  </si>
  <si>
    <t>KuMu</t>
  </si>
  <si>
    <t>ZK</t>
  </si>
  <si>
    <t>FR43</t>
  </si>
  <si>
    <t>1FS</t>
  </si>
  <si>
    <t>2FS</t>
  </si>
  <si>
    <t>1NW</t>
  </si>
  <si>
    <t>2NW</t>
  </si>
  <si>
    <t>Pflicht</t>
  </si>
  <si>
    <t>Ergänz</t>
  </si>
  <si>
    <t>Anz der Min aus 4HJ</t>
  </si>
  <si>
    <t>2GSW als LK</t>
  </si>
  <si>
    <t>X43</t>
  </si>
  <si>
    <t>Ein LK muss D, M, NW oder fortgeführte FS sein.</t>
  </si>
  <si>
    <t>ZK in 4.5.Zeile GSW</t>
  </si>
  <si>
    <t>Punkte für Zusatzkurse in der 4./5. Zeile der Gesellschaftswiss. eingeben!</t>
  </si>
  <si>
    <t>Folgende Kurse müssen gewertet werden:</t>
  </si>
  <si>
    <t>nach Kursart:</t>
  </si>
  <si>
    <t>in den 4 Abiturfächern je 4 Kurse</t>
  </si>
  <si>
    <t>nach Fächern/Aufgabenfeldern:</t>
  </si>
  <si>
    <t>je 2 Kurse in</t>
  </si>
  <si>
    <t>D, eine FS, eine GSW, M, eine NW</t>
  </si>
  <si>
    <t xml:space="preserve">je 4 Kurse in </t>
  </si>
  <si>
    <t>2 Kurse aus Q2 im</t>
  </si>
  <si>
    <t>9.Pflichtfach (2.FS/2.NW - §11,5)</t>
  </si>
  <si>
    <t>Ku/Mu/Li/IV, Ge, SW, Rel./Phil.</t>
  </si>
  <si>
    <t>Q1.1/11.1</t>
  </si>
  <si>
    <t>Q1.2/11.2</t>
  </si>
  <si>
    <t>Q2.1/12.1</t>
  </si>
  <si>
    <t>Q2.2/12.2</t>
  </si>
  <si>
    <t>Projekt- kurs</t>
  </si>
  <si>
    <t>Die neue Fremdsprache                      ist auch in EF2                     4-stündig!</t>
  </si>
  <si>
    <t>Eine fortgeführte Fremdsprache ist in EF2                              3-stündig!</t>
  </si>
  <si>
    <t>Keine 200 Punkte in Block I</t>
  </si>
  <si>
    <t>2 Abiturfächer mit mind. 25 Punkten (mit BLL mind. 20P.),</t>
  </si>
  <si>
    <t>darunter mind. 1 LK</t>
  </si>
  <si>
    <t>Zeile der</t>
  </si>
  <si>
    <t>1.FS</t>
  </si>
  <si>
    <t>3.FS</t>
  </si>
  <si>
    <t>Abitur-fach</t>
  </si>
  <si>
    <t>Punkteliste</t>
  </si>
  <si>
    <t>Defizite:</t>
  </si>
  <si>
    <t>Mü/schr</t>
  </si>
  <si>
    <r>
      <t xml:space="preserve">Ø-Punktzahl         </t>
    </r>
    <r>
      <rPr>
        <sz val="9"/>
        <rFont val="Arial"/>
        <family val="2"/>
      </rPr>
      <t>(LK's doppelt gezählt)</t>
    </r>
  </si>
  <si>
    <t>Projekt-kurs</t>
  </si>
  <si>
    <t>2.FS</t>
  </si>
  <si>
    <t>Projekt-kurse</t>
  </si>
  <si>
    <t>1.NW</t>
  </si>
  <si>
    <t>2.NW</t>
  </si>
  <si>
    <t>3.NW</t>
  </si>
  <si>
    <r>
      <t xml:space="preserve">Ø-Punktzahl                     </t>
    </r>
    <r>
      <rPr>
        <sz val="9"/>
        <rFont val="Arial"/>
        <family val="2"/>
      </rPr>
      <t>(LK's doppelt gezählt)</t>
    </r>
  </si>
  <si>
    <r>
      <t xml:space="preserve">Es kann kein neues Fach hinzugewählt werden. PL kann nur </t>
    </r>
    <r>
      <rPr>
        <b/>
        <sz val="10"/>
        <rFont val="Arial"/>
        <family val="2"/>
      </rPr>
      <t>statt</t>
    </r>
    <r>
      <rPr>
        <sz val="10"/>
        <rFont val="Arial"/>
        <family val="2"/>
      </rPr>
      <t xml:space="preserve"> Rel. (oder umgekehrt) belegt werden. </t>
    </r>
  </si>
  <si>
    <t>kgrösste</t>
  </si>
  <si>
    <t>k</t>
  </si>
  <si>
    <t>BT</t>
  </si>
  <si>
    <t>BV</t>
  </si>
  <si>
    <t>Adressenkonstruktion</t>
  </si>
  <si>
    <t>nach Aufstockung auf 38 Kurse</t>
  </si>
  <si>
    <t>Minimierung der Defizite, falls mehr als 8 vorhanden</t>
  </si>
  <si>
    <t>Def Pflicht</t>
  </si>
  <si>
    <t>Def. in den FS mit 1NW</t>
  </si>
  <si>
    <t>Def. in den NW mit 1FS</t>
  </si>
  <si>
    <t>Def 1FS</t>
  </si>
  <si>
    <t>Def 1NW</t>
  </si>
  <si>
    <t>Adr</t>
  </si>
  <si>
    <t>Anz Def</t>
  </si>
  <si>
    <t>Zeile</t>
  </si>
  <si>
    <t>Def</t>
  </si>
  <si>
    <t xml:space="preserve">günstige Adr </t>
  </si>
  <si>
    <t>Gesamtzahl Def</t>
  </si>
  <si>
    <t>zu reduzierende Def</t>
  </si>
  <si>
    <t>EX</t>
  </si>
  <si>
    <t>EW</t>
  </si>
  <si>
    <t>EV</t>
  </si>
  <si>
    <t>EU</t>
  </si>
  <si>
    <t>Zu viele Defizite                       insgesamt.</t>
  </si>
  <si>
    <t>Projektkurs</t>
  </si>
  <si>
    <t>AO43</t>
  </si>
  <si>
    <t>Im PJK nur zwei aufeinander folgende Kurse mit gleicher Punktzahl eingeben!</t>
  </si>
  <si>
    <t>Ein 1. und ein 2. Abiturfach in der Spalte 'Abiturfach' eingeben!</t>
  </si>
  <si>
    <t>kkleinste</t>
  </si>
  <si>
    <t>FL</t>
  </si>
  <si>
    <t>FM</t>
  </si>
  <si>
    <t>FN</t>
  </si>
  <si>
    <t>FO</t>
  </si>
  <si>
    <t>Min der Spalten</t>
  </si>
  <si>
    <t>Spalte</t>
  </si>
  <si>
    <t>Min</t>
  </si>
  <si>
    <t>Pkte</t>
  </si>
  <si>
    <t>Fehler beim 9. Pflichtfach (2.FS/2.NW)</t>
  </si>
  <si>
    <t>Kurs mit gl. Pkte wie PJK</t>
  </si>
  <si>
    <t>Summe 4Kurse in FS</t>
  </si>
  <si>
    <t>3FS</t>
  </si>
  <si>
    <t>Diff der FS-4Kurse</t>
  </si>
  <si>
    <t>in Zeile</t>
  </si>
  <si>
    <t>-2FS</t>
  </si>
  <si>
    <t>-3FS</t>
  </si>
  <si>
    <t>k=</t>
  </si>
  <si>
    <t>kgrösste Kurse</t>
  </si>
  <si>
    <t>mit 3FS und k=</t>
  </si>
  <si>
    <t>Schnitt bisher</t>
  </si>
  <si>
    <t>Anz Kurse bisher</t>
  </si>
  <si>
    <t>4Kurse</t>
  </si>
  <si>
    <t>Q2-Kurse</t>
  </si>
  <si>
    <t>Diff der FS-Q2Kurse</t>
  </si>
  <si>
    <t>Maxder Q2-Kurse</t>
  </si>
  <si>
    <t>3NW</t>
  </si>
  <si>
    <t>(anderer Fall ab Zeile 57)</t>
  </si>
  <si>
    <t>Berechnung für den Fall, dass 3 FS ohne Abifach belegt sind</t>
  </si>
  <si>
    <t>Berechnung für den Fall, dass keine 3 FS ohne Abifach belegt sind</t>
  </si>
  <si>
    <t>1.)</t>
  </si>
  <si>
    <t>2.)</t>
  </si>
  <si>
    <t>Fall liegt vor:</t>
  </si>
  <si>
    <t>RelErs</t>
  </si>
  <si>
    <t>Ers</t>
  </si>
  <si>
    <t>Adr RelErs kmax</t>
  </si>
  <si>
    <t>aus Feld AA29</t>
  </si>
  <si>
    <t>Rel / Zeile</t>
  </si>
  <si>
    <t>Anz Rel-Kurse</t>
  </si>
  <si>
    <r>
      <t xml:space="preserve">Wenn Religion die Pflicht (von EF.1 bis Q1.2) abdeckt, kann Philosophie nur als </t>
    </r>
    <r>
      <rPr>
        <b/>
        <sz val="10"/>
        <rFont val="Arial"/>
        <family val="2"/>
      </rPr>
      <t>GSW</t>
    </r>
    <r>
      <rPr>
        <sz val="10"/>
        <rFont val="Arial"/>
        <family val="2"/>
      </rPr>
      <t xml:space="preserve"> belegt werden.</t>
    </r>
  </si>
  <si>
    <t/>
  </si>
  <si>
    <t>IV CO</t>
  </si>
  <si>
    <t>Literatur Orch Chor</t>
  </si>
  <si>
    <t>Es können höchstens      2 Kurse in Literatur/Orchester/Chor belegt werden.</t>
  </si>
  <si>
    <t xml:space="preserve">nur 2 FS </t>
  </si>
  <si>
    <t>maxPunkte inQ1</t>
  </si>
  <si>
    <t>SumQ2</t>
  </si>
  <si>
    <t>Ges</t>
  </si>
  <si>
    <t xml:space="preserve">0 Pkte im Pflichtbereich </t>
  </si>
  <si>
    <t>Ergebnis</t>
  </si>
  <si>
    <t>mit 3NW und k=</t>
  </si>
  <si>
    <t>-3NW</t>
  </si>
  <si>
    <t>Diff der NW-Q2Kurse</t>
  </si>
  <si>
    <t xml:space="preserve"> Kurswahl</t>
  </si>
  <si>
    <r>
      <t xml:space="preserve">Bildung eines Prüfungsergebnisses bei schriftlicher und mündlicher Prüfung - </t>
    </r>
    <r>
      <rPr>
        <b/>
        <sz val="10"/>
        <color indexed="10"/>
        <rFont val="Arial"/>
        <family val="2"/>
      </rPr>
      <t>neue Tabelle ab A14</t>
    </r>
  </si>
  <si>
    <t>In der EF muss die Wochenstundenzahl im Schnitt mind. 34 betragen.</t>
  </si>
  <si>
    <t>gr.Rel/Pl</t>
  </si>
  <si>
    <t>H</t>
  </si>
  <si>
    <t>J</t>
  </si>
  <si>
    <t>K</t>
  </si>
  <si>
    <t>Q1.1</t>
  </si>
  <si>
    <t>Q1.2</t>
  </si>
  <si>
    <t>Q2.1</t>
  </si>
  <si>
    <t>Q2.2</t>
  </si>
  <si>
    <t>Zeile des Max:</t>
  </si>
  <si>
    <t>WENN(UND(ODER(UND(ODER(Zulassung!D28="KR";Zulassung!D28="ER");ANZAHL(Zulassung!H28:K28)=4);UND(ODER(Zulassung!D29="KR";Zulassung!D29="ER");ANZAHL(Zulassung!H29:K29)=4));ODER(Zulassung!D28="PL";Zulassung!D29="PL"));"F";"W")</t>
  </si>
  <si>
    <t>1 x Ge + ZK:</t>
  </si>
  <si>
    <t>1 x SW + ZK:</t>
  </si>
  <si>
    <r>
      <t>Automatische Berechnung</t>
    </r>
    <r>
      <rPr>
        <b/>
        <sz val="14"/>
        <rFont val="Arial"/>
        <family val="2"/>
      </rPr>
      <t xml:space="preserve"> </t>
    </r>
    <r>
      <rPr>
        <sz val="14"/>
        <rFont val="Arial"/>
        <family val="2"/>
      </rPr>
      <t xml:space="preserve">der optimalen Punktzahl und der Zulassung                                                                                                        </t>
    </r>
    <r>
      <rPr>
        <sz val="12"/>
        <rFont val="Arial"/>
        <family val="2"/>
      </rPr>
      <t xml:space="preserve">Pflichtwertungen sind unterstrichen, nicht in die Wertung eingehende Kurse geklammert.                                </t>
    </r>
    <r>
      <rPr>
        <sz val="11"/>
        <rFont val="Arial"/>
        <family val="2"/>
      </rPr>
      <t>(Hier in der rechten Tabelle ist keine Eingabe möglich!)</t>
    </r>
  </si>
  <si>
    <t>S</t>
  </si>
  <si>
    <r>
      <t xml:space="preserve">Eine Sprache kann nicht gleichzeitig als fortgeführte </t>
    </r>
    <r>
      <rPr>
        <b/>
        <u val="single"/>
        <sz val="10"/>
        <rFont val="Arial"/>
        <family val="2"/>
      </rPr>
      <t>und</t>
    </r>
    <r>
      <rPr>
        <sz val="10"/>
        <rFont val="Arial"/>
        <family val="2"/>
      </rPr>
      <t xml:space="preserve"> neue Fremdsprache belegt werden.</t>
    </r>
  </si>
</sst>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00000"/>
    <numFmt numFmtId="174" formatCode="0.00000"/>
    <numFmt numFmtId="175" formatCode="0.0000"/>
    <numFmt numFmtId="176" formatCode="0.000"/>
    <numFmt numFmtId="177" formatCode="0.#"/>
    <numFmt numFmtId="178" formatCode="#.#"/>
  </numFmts>
  <fonts count="117">
    <font>
      <sz val="10"/>
      <name val="Arial"/>
      <family val="2"/>
    </font>
    <font>
      <sz val="11"/>
      <color indexed="26"/>
      <name val="Arial"/>
      <family val="2"/>
    </font>
    <font>
      <sz val="22"/>
      <name val="Verdana"/>
      <family val="2"/>
    </font>
    <font>
      <sz val="23"/>
      <name val="Verdana"/>
      <family val="2"/>
    </font>
    <font>
      <sz val="10"/>
      <color indexed="22"/>
      <name val="Arial"/>
      <family val="2"/>
    </font>
    <font>
      <sz val="11"/>
      <name val="Wingdings"/>
      <family val="0"/>
    </font>
    <font>
      <sz val="8"/>
      <name val="Times New Roman"/>
      <family val="1"/>
    </font>
    <font>
      <sz val="22"/>
      <color indexed="22"/>
      <name val="Times New Roman"/>
      <family val="1"/>
    </font>
    <font>
      <sz val="22"/>
      <name val="Times New Roman"/>
      <family val="1"/>
    </font>
    <font>
      <b/>
      <sz val="26"/>
      <color indexed="12"/>
      <name val="Times New Roman"/>
      <family val="1"/>
    </font>
    <font>
      <u val="single"/>
      <sz val="8.5"/>
      <color indexed="12"/>
      <name val="Arial"/>
      <family val="2"/>
    </font>
    <font>
      <sz val="23"/>
      <name val="Times New Roman"/>
      <family val="1"/>
    </font>
    <font>
      <sz val="23"/>
      <color indexed="22"/>
      <name val="Times New Roman"/>
      <family val="1"/>
    </font>
    <font>
      <sz val="10"/>
      <color indexed="10"/>
      <name val="Arial"/>
      <family val="2"/>
    </font>
    <font>
      <sz val="11"/>
      <name val="Arial"/>
      <family val="2"/>
    </font>
    <font>
      <sz val="10"/>
      <color indexed="26"/>
      <name val="Arial"/>
      <family val="2"/>
    </font>
    <font>
      <b/>
      <sz val="11"/>
      <name val="Arial"/>
      <family val="2"/>
    </font>
    <font>
      <b/>
      <sz val="10"/>
      <color indexed="10"/>
      <name val="Arial"/>
      <family val="2"/>
    </font>
    <font>
      <sz val="12"/>
      <name val="Wingdings"/>
      <family val="0"/>
    </font>
    <font>
      <b/>
      <u val="single"/>
      <sz val="11"/>
      <color indexed="12"/>
      <name val="Arial"/>
      <family val="2"/>
    </font>
    <font>
      <sz val="8"/>
      <color indexed="23"/>
      <name val="Arial"/>
      <family val="2"/>
    </font>
    <font>
      <sz val="8"/>
      <color indexed="55"/>
      <name val="Arial"/>
      <family val="2"/>
    </font>
    <font>
      <sz val="20"/>
      <name val="Verdana"/>
      <family val="2"/>
    </font>
    <font>
      <sz val="8"/>
      <name val="Arial"/>
      <family val="2"/>
    </font>
    <font>
      <sz val="20"/>
      <name val="Times New Roman"/>
      <family val="1"/>
    </font>
    <font>
      <sz val="9"/>
      <name val="Arial"/>
      <family val="2"/>
    </font>
    <font>
      <b/>
      <sz val="9"/>
      <name val="Arial"/>
      <family val="2"/>
    </font>
    <font>
      <sz val="10"/>
      <color indexed="9"/>
      <name val="Arial"/>
      <family val="2"/>
    </font>
    <font>
      <b/>
      <sz val="10"/>
      <color indexed="8"/>
      <name val="Times New Roman"/>
      <family val="1"/>
    </font>
    <font>
      <b/>
      <sz val="10"/>
      <color indexed="8"/>
      <name val="Arial"/>
      <family val="2"/>
    </font>
    <font>
      <b/>
      <sz val="9"/>
      <color indexed="8"/>
      <name val="Times New Roman"/>
      <family val="1"/>
    </font>
    <font>
      <b/>
      <sz val="9"/>
      <name val="Century Schoolbook"/>
      <family val="1"/>
    </font>
    <font>
      <b/>
      <sz val="9"/>
      <color indexed="8"/>
      <name val="Arial"/>
      <family val="2"/>
    </font>
    <font>
      <b/>
      <sz val="11"/>
      <color indexed="8"/>
      <name val="Arial"/>
      <family val="2"/>
    </font>
    <font>
      <b/>
      <sz val="11"/>
      <color indexed="10"/>
      <name val="Gill Sans MT"/>
      <family val="2"/>
    </font>
    <font>
      <sz val="9"/>
      <color indexed="8"/>
      <name val="Arial"/>
      <family val="2"/>
    </font>
    <font>
      <b/>
      <sz val="11"/>
      <color indexed="10"/>
      <name val="Arial"/>
      <family val="2"/>
    </font>
    <font>
      <b/>
      <sz val="14"/>
      <color indexed="57"/>
      <name val="Arial"/>
      <family val="2"/>
    </font>
    <font>
      <b/>
      <i/>
      <sz val="18"/>
      <color indexed="57"/>
      <name val="Book Antiqua"/>
      <family val="1"/>
    </font>
    <font>
      <b/>
      <sz val="11"/>
      <color indexed="57"/>
      <name val="Arial"/>
      <family val="2"/>
    </font>
    <font>
      <sz val="10"/>
      <color indexed="12"/>
      <name val="Arial"/>
      <family val="2"/>
    </font>
    <font>
      <sz val="10"/>
      <color indexed="8"/>
      <name val="Arial"/>
      <family val="2"/>
    </font>
    <font>
      <b/>
      <sz val="12"/>
      <name val="Times New Roman"/>
      <family val="1"/>
    </font>
    <font>
      <b/>
      <sz val="10"/>
      <color indexed="10"/>
      <name val="Times New Roman"/>
      <family val="1"/>
    </font>
    <font>
      <b/>
      <sz val="10"/>
      <name val="Arial"/>
      <family val="2"/>
    </font>
    <font>
      <b/>
      <sz val="12"/>
      <name val="Arial"/>
      <family val="2"/>
    </font>
    <font>
      <b/>
      <sz val="14"/>
      <name val="Arial"/>
      <family val="2"/>
    </font>
    <font>
      <b/>
      <sz val="20"/>
      <name val="Wingdings"/>
      <family val="0"/>
    </font>
    <font>
      <b/>
      <sz val="14"/>
      <color indexed="8"/>
      <name val="Arial"/>
      <family val="2"/>
    </font>
    <font>
      <b/>
      <u val="single"/>
      <sz val="12"/>
      <name val="Arial"/>
      <family val="2"/>
    </font>
    <font>
      <b/>
      <u val="single"/>
      <sz val="14"/>
      <name val="Arial"/>
      <family val="2"/>
    </font>
    <font>
      <sz val="12"/>
      <color indexed="12"/>
      <name val="Century Schoolbook"/>
      <family val="1"/>
    </font>
    <font>
      <sz val="11"/>
      <color indexed="12"/>
      <name val="Century Schoolbook"/>
      <family val="1"/>
    </font>
    <font>
      <sz val="12"/>
      <color indexed="9"/>
      <name val="Century Schoolbook"/>
      <family val="1"/>
    </font>
    <font>
      <sz val="10"/>
      <color indexed="12"/>
      <name val="Century Schoolbook"/>
      <family val="1"/>
    </font>
    <font>
      <b/>
      <sz val="10"/>
      <color indexed="21"/>
      <name val="Arial"/>
      <family val="2"/>
    </font>
    <font>
      <b/>
      <sz val="10"/>
      <color indexed="16"/>
      <name val="Arial"/>
      <family val="2"/>
    </font>
    <font>
      <b/>
      <i/>
      <sz val="18"/>
      <color indexed="12"/>
      <name val="Book Antiqua"/>
      <family val="1"/>
    </font>
    <font>
      <b/>
      <sz val="10"/>
      <color indexed="12"/>
      <name val="Arial"/>
      <family val="2"/>
    </font>
    <font>
      <sz val="12"/>
      <color indexed="10"/>
      <name val="Arial"/>
      <family val="2"/>
    </font>
    <font>
      <b/>
      <sz val="10"/>
      <color indexed="14"/>
      <name val="Arial"/>
      <family val="2"/>
    </font>
    <font>
      <b/>
      <sz val="12"/>
      <color indexed="9"/>
      <name val="Arial"/>
      <family val="2"/>
    </font>
    <font>
      <b/>
      <sz val="11"/>
      <color indexed="9"/>
      <name val="Arial"/>
      <family val="2"/>
    </font>
    <font>
      <sz val="11"/>
      <color indexed="9"/>
      <name val="Arial"/>
      <family val="2"/>
    </font>
    <font>
      <sz val="14"/>
      <name val="Wingdings"/>
      <family val="0"/>
    </font>
    <font>
      <sz val="18"/>
      <name val="Verdana"/>
      <family val="2"/>
    </font>
    <font>
      <b/>
      <sz val="10"/>
      <color indexed="9"/>
      <name val="Arial"/>
      <family val="2"/>
    </font>
    <font>
      <u val="single"/>
      <sz val="10"/>
      <color indexed="36"/>
      <name val="Arial"/>
      <family val="2"/>
    </font>
    <font>
      <sz val="14"/>
      <name val="Arial"/>
      <family val="2"/>
    </font>
    <font>
      <sz val="12"/>
      <name val="Arial"/>
      <family val="2"/>
    </font>
    <font>
      <b/>
      <sz val="11"/>
      <name val="Gill Sans MT"/>
      <family val="2"/>
    </font>
    <font>
      <b/>
      <sz val="10"/>
      <color indexed="10"/>
      <name val="Gill Sans MT"/>
      <family val="2"/>
    </font>
    <font>
      <sz val="8"/>
      <name val="Tahoma"/>
      <family val="2"/>
    </font>
    <font>
      <b/>
      <sz val="8"/>
      <name val="Tahoma"/>
      <family val="2"/>
    </font>
    <font>
      <sz val="10"/>
      <name val="Verdana"/>
      <family val="2"/>
    </font>
    <font>
      <sz val="32"/>
      <name val="Wingdings"/>
      <family val="0"/>
    </font>
    <font>
      <b/>
      <u val="single"/>
      <sz val="11"/>
      <color indexed="8"/>
      <name val="Arial"/>
      <family val="2"/>
    </font>
    <font>
      <b/>
      <i/>
      <sz val="10"/>
      <color indexed="12"/>
      <name val="Arial"/>
      <family val="2"/>
    </font>
    <font>
      <b/>
      <sz val="10"/>
      <name val="Tahoma"/>
      <family val="2"/>
    </font>
    <font>
      <sz val="9"/>
      <name val="Century Schoolbook"/>
      <family val="0"/>
    </font>
    <font>
      <sz val="11"/>
      <color indexed="8"/>
      <name val="Arial"/>
      <family val="2"/>
    </font>
    <font>
      <sz val="10"/>
      <name val="Times New Roman"/>
      <family val="1"/>
    </font>
    <font>
      <sz val="10"/>
      <name val="Wingdings"/>
      <family val="0"/>
    </font>
    <font>
      <b/>
      <u val="single"/>
      <sz val="10"/>
      <name val="Tahoma"/>
      <family val="2"/>
    </font>
    <font>
      <sz val="12"/>
      <name val="Times New Roman"/>
      <family val="1"/>
    </font>
    <font>
      <sz val="11"/>
      <color indexed="10"/>
      <name val="Arial"/>
      <family val="2"/>
    </font>
    <font>
      <b/>
      <u val="single"/>
      <sz val="10"/>
      <name val="Arial"/>
      <family val="2"/>
    </font>
    <font>
      <b/>
      <sz val="10"/>
      <color indexed="63"/>
      <name val="Arial"/>
      <family val="2"/>
    </font>
    <font>
      <b/>
      <sz val="10"/>
      <color indexed="52"/>
      <name val="Arial"/>
      <family val="2"/>
    </font>
    <font>
      <sz val="10"/>
      <color indexed="62"/>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52"/>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b/>
      <sz val="8"/>
      <name val="Arial"/>
      <family val="2"/>
    </font>
  </fonts>
  <fills count="8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6"/>
        <bgColor indexed="64"/>
      </patternFill>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indexed="42"/>
        <bgColor indexed="64"/>
      </patternFill>
    </fill>
    <fill>
      <patternFill patternType="solid">
        <fgColor indexed="46"/>
        <bgColor indexed="64"/>
      </patternFill>
    </fill>
    <fill>
      <patternFill patternType="solid">
        <fgColor indexed="31"/>
        <bgColor indexed="64"/>
      </patternFill>
    </fill>
    <fill>
      <patternFill patternType="solid">
        <fgColor indexed="27"/>
        <bgColor indexed="64"/>
      </patternFill>
    </fill>
    <fill>
      <patternFill patternType="solid">
        <fgColor indexed="13"/>
        <bgColor indexed="64"/>
      </patternFill>
    </fill>
    <fill>
      <patternFill patternType="solid">
        <fgColor indexed="11"/>
        <bgColor indexed="64"/>
      </patternFill>
    </fill>
    <fill>
      <patternFill patternType="solid">
        <fgColor indexed="19"/>
        <bgColor indexed="64"/>
      </patternFill>
    </fill>
    <fill>
      <patternFill patternType="solid">
        <fgColor indexed="17"/>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57"/>
        <bgColor indexed="64"/>
      </patternFill>
    </fill>
    <fill>
      <patternFill patternType="solid">
        <fgColor indexed="22"/>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51"/>
        <bgColor indexed="64"/>
      </patternFill>
    </fill>
    <fill>
      <patternFill patternType="solid">
        <fgColor indexed="49"/>
        <bgColor indexed="64"/>
      </patternFill>
    </fill>
    <fill>
      <patternFill patternType="solid">
        <fgColor indexed="13"/>
        <bgColor indexed="64"/>
      </patternFill>
    </fill>
    <fill>
      <patternFill patternType="lightGray">
        <fgColor indexed="34"/>
        <bgColor indexed="9"/>
      </patternFill>
    </fill>
    <fill>
      <patternFill patternType="darkTrellis">
        <fgColor indexed="42"/>
        <bgColor indexed="11"/>
      </patternFill>
    </fill>
    <fill>
      <patternFill patternType="solid">
        <fgColor indexed="19"/>
        <bgColor indexed="64"/>
      </patternFill>
    </fill>
    <fill>
      <patternFill patternType="solid">
        <fgColor indexed="9"/>
        <bgColor indexed="64"/>
      </patternFill>
    </fill>
    <fill>
      <patternFill patternType="solid">
        <fgColor indexed="31"/>
        <bgColor indexed="64"/>
      </patternFill>
    </fill>
    <fill>
      <patternFill patternType="solid">
        <fgColor indexed="43"/>
        <bgColor indexed="64"/>
      </patternFill>
    </fill>
    <fill>
      <patternFill patternType="solid">
        <fgColor indexed="13"/>
        <bgColor indexed="64"/>
      </patternFill>
    </fill>
    <fill>
      <patternFill patternType="solid">
        <fgColor indexed="29"/>
        <bgColor indexed="64"/>
      </patternFill>
    </fill>
    <fill>
      <patternFill patternType="solid">
        <fgColor indexed="23"/>
        <bgColor indexed="64"/>
      </patternFill>
    </fill>
    <fill>
      <patternFill patternType="solid">
        <fgColor indexed="31"/>
        <bgColor indexed="64"/>
      </patternFill>
    </fill>
    <fill>
      <patternFill patternType="solid">
        <fgColor indexed="50"/>
        <bgColor indexed="64"/>
      </patternFill>
    </fill>
    <fill>
      <patternFill patternType="solid">
        <fgColor indexed="50"/>
        <bgColor indexed="64"/>
      </patternFill>
    </fill>
    <fill>
      <patternFill patternType="solid">
        <fgColor indexed="9"/>
        <bgColor indexed="64"/>
      </patternFill>
    </fill>
    <fill>
      <patternFill patternType="solid">
        <fgColor indexed="31"/>
        <bgColor indexed="64"/>
      </patternFill>
    </fill>
    <fill>
      <patternFill patternType="solid">
        <fgColor indexed="41"/>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C000"/>
        <bgColor indexed="64"/>
      </patternFill>
    </fill>
    <fill>
      <patternFill patternType="solid">
        <fgColor theme="0" tint="-0.04997999966144562"/>
        <bgColor indexed="64"/>
      </patternFill>
    </fill>
    <fill>
      <patternFill patternType="solid">
        <fgColor rgb="FFFF0000"/>
        <bgColor indexed="64"/>
      </patternFill>
    </fill>
    <fill>
      <patternFill patternType="solid">
        <fgColor rgb="FFFF7C80"/>
        <bgColor indexed="64"/>
      </patternFill>
    </fill>
    <fill>
      <patternFill patternType="solid">
        <fgColor theme="1" tint="0.04998999834060669"/>
        <bgColor indexed="64"/>
      </patternFill>
    </fill>
    <fill>
      <patternFill patternType="solid">
        <fgColor theme="9" tint="-0.24997000396251678"/>
        <bgColor indexed="64"/>
      </patternFill>
    </fill>
    <fill>
      <patternFill patternType="solid">
        <fgColor theme="3" tint="0.7999799847602844"/>
        <bgColor indexed="64"/>
      </patternFill>
    </fill>
    <fill>
      <patternFill patternType="solid">
        <fgColor theme="6" tint="-0.24997000396251678"/>
        <bgColor indexed="64"/>
      </patternFill>
    </fill>
    <fill>
      <patternFill patternType="solid">
        <fgColor rgb="FF92D050"/>
        <bgColor indexed="64"/>
      </patternFill>
    </fill>
    <fill>
      <patternFill patternType="solid">
        <fgColor indexed="26"/>
        <bgColor indexed="64"/>
      </patternFill>
    </fill>
    <fill>
      <patternFill patternType="solid">
        <fgColor rgb="FFEAEAEA"/>
        <bgColor indexed="64"/>
      </patternFill>
    </fill>
  </fills>
  <borders count="26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style="hair">
        <color indexed="8"/>
      </bottom>
    </border>
    <border>
      <left style="thin">
        <color indexed="8"/>
      </left>
      <right style="medium">
        <color indexed="8"/>
      </right>
      <top>
        <color indexed="63"/>
      </top>
      <bottom style="hair">
        <color indexed="8"/>
      </bottom>
    </border>
    <border>
      <left style="thin">
        <color indexed="8"/>
      </left>
      <right style="medium">
        <color indexed="8"/>
      </right>
      <top style="hair">
        <color indexed="8"/>
      </top>
      <bottom style="hair">
        <color indexed="8"/>
      </bottom>
    </border>
    <border>
      <left>
        <color indexed="63"/>
      </left>
      <right style="thin">
        <color indexed="8"/>
      </right>
      <top>
        <color indexed="63"/>
      </top>
      <bottom>
        <color indexed="63"/>
      </bottom>
    </border>
    <border>
      <left>
        <color indexed="63"/>
      </left>
      <right style="thin">
        <color indexed="8"/>
      </right>
      <top style="hair">
        <color indexed="8"/>
      </top>
      <bottom style="hair">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hair">
        <color indexed="8"/>
      </left>
      <right style="hair">
        <color indexed="8"/>
      </right>
      <top style="hair">
        <color indexed="8"/>
      </top>
      <bottom style="medium">
        <color indexed="8"/>
      </bottom>
    </border>
    <border>
      <left style="hair">
        <color indexed="8"/>
      </left>
      <right style="medium">
        <color indexed="8"/>
      </right>
      <top style="thin">
        <color indexed="8"/>
      </top>
      <bottom style="medium">
        <color indexed="8"/>
      </bottom>
    </border>
    <border>
      <left style="hair">
        <color indexed="8"/>
      </left>
      <right style="medium">
        <color indexed="8"/>
      </right>
      <top>
        <color indexed="63"/>
      </top>
      <bottom style="hair">
        <color indexed="8"/>
      </bottom>
    </border>
    <border>
      <left style="thin">
        <color indexed="8"/>
      </left>
      <right style="thin">
        <color indexed="8"/>
      </right>
      <top>
        <color indexed="63"/>
      </top>
      <bottom style="thin">
        <color indexed="8"/>
      </bottom>
    </border>
    <border>
      <left style="medium">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style="medium">
        <color indexed="8"/>
      </right>
      <top>
        <color indexed="63"/>
      </top>
      <bottom style="thin">
        <color indexed="8"/>
      </bottom>
    </border>
    <border>
      <left style="medium">
        <color indexed="8"/>
      </left>
      <right style="thin">
        <color indexed="8"/>
      </right>
      <top>
        <color indexed="63"/>
      </top>
      <bottom>
        <color indexed="63"/>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color indexed="63"/>
      </left>
      <right style="medium">
        <color indexed="8"/>
      </right>
      <top>
        <color indexed="63"/>
      </top>
      <bottom>
        <color indexed="63"/>
      </bottom>
    </border>
    <border>
      <left style="medium">
        <color indexed="8"/>
      </left>
      <right style="thin">
        <color indexed="8"/>
      </right>
      <top>
        <color indexed="63"/>
      </top>
      <bottom style="medium">
        <color indexed="8"/>
      </bottom>
    </border>
    <border>
      <left>
        <color indexed="63"/>
      </left>
      <right style="medium">
        <color indexed="8"/>
      </right>
      <top>
        <color indexed="63"/>
      </top>
      <bottom style="medium">
        <color indexed="8"/>
      </bottom>
    </border>
    <border>
      <left>
        <color indexed="63"/>
      </left>
      <right style="thin">
        <color indexed="8"/>
      </right>
      <top style="medium">
        <color indexed="8"/>
      </top>
      <bottom>
        <color indexed="63"/>
      </bottom>
    </border>
    <border>
      <left>
        <color indexed="63"/>
      </left>
      <right style="medium">
        <color indexed="8"/>
      </right>
      <top style="medium">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medium">
        <color indexed="8"/>
      </bottom>
    </border>
    <border>
      <left style="medium">
        <color indexed="8"/>
      </left>
      <right style="hair">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hair">
        <color indexed="8"/>
      </left>
      <right style="hair">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hair">
        <color indexed="8"/>
      </right>
      <top style="hair">
        <color indexed="8"/>
      </top>
      <bottom style="hair">
        <color indexed="8"/>
      </bottom>
    </border>
    <border>
      <left style="thin">
        <color indexed="8"/>
      </left>
      <right style="thin">
        <color indexed="8"/>
      </right>
      <top style="hair">
        <color indexed="8"/>
      </top>
      <bottom style="hair">
        <color indexed="8"/>
      </bottom>
    </border>
    <border>
      <left style="hair">
        <color indexed="8"/>
      </left>
      <right style="hair">
        <color indexed="8"/>
      </right>
      <top style="hair">
        <color indexed="8"/>
      </top>
      <bottom style="hair">
        <color indexed="8"/>
      </bottom>
    </border>
    <border>
      <left style="medium">
        <color indexed="8"/>
      </left>
      <right style="hair">
        <color indexed="8"/>
      </right>
      <top style="hair">
        <color indexed="8"/>
      </top>
      <bottom style="medium">
        <color indexed="8"/>
      </bottom>
    </border>
    <border>
      <left style="thin">
        <color indexed="8"/>
      </left>
      <right style="thin">
        <color indexed="8"/>
      </right>
      <top style="hair">
        <color indexed="8"/>
      </top>
      <bottom style="medium">
        <color indexed="8"/>
      </bottom>
    </border>
    <border>
      <left style="medium">
        <color indexed="8"/>
      </left>
      <right style="hair">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style="medium">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medium">
        <color indexed="8"/>
      </right>
      <top style="medium">
        <color indexed="8"/>
      </top>
      <bottom style="thin">
        <color indexed="8"/>
      </bottom>
    </border>
    <border>
      <left style="thin">
        <color indexed="8"/>
      </left>
      <right style="medium">
        <color indexed="8"/>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color indexed="63"/>
      </right>
      <top style="medium">
        <color indexed="8"/>
      </top>
      <bottom style="thin">
        <color indexed="8"/>
      </bottom>
    </border>
    <border>
      <left style="thin">
        <color indexed="8"/>
      </left>
      <right style="medium">
        <color indexed="8"/>
      </right>
      <top>
        <color indexed="63"/>
      </top>
      <bottom style="thin">
        <color indexed="8"/>
      </bottom>
    </border>
    <border>
      <left style="medium">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medium">
        <color indexed="8"/>
      </right>
      <top>
        <color indexed="63"/>
      </top>
      <bottom>
        <color indexed="63"/>
      </bottom>
    </border>
    <border>
      <left style="medium">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medium">
        <color indexed="8"/>
      </right>
      <top>
        <color indexed="63"/>
      </top>
      <bottom style="medium">
        <color indexed="8"/>
      </bottom>
    </border>
    <border>
      <left style="thin">
        <color indexed="55"/>
      </left>
      <right style="thin">
        <color indexed="55"/>
      </right>
      <top style="thin">
        <color indexed="55"/>
      </top>
      <bottom style="thin">
        <color indexed="55"/>
      </bottom>
    </border>
    <border>
      <left>
        <color indexed="63"/>
      </left>
      <right style="medium">
        <color indexed="8"/>
      </right>
      <top style="medium">
        <color indexed="8"/>
      </top>
      <bottom style="medium">
        <color indexed="8"/>
      </bottom>
    </border>
    <border>
      <left style="thin">
        <color indexed="8"/>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medium">
        <color indexed="8"/>
      </right>
      <top style="thin">
        <color indexed="8"/>
      </top>
      <bottom>
        <color indexed="63"/>
      </bottom>
    </border>
    <border>
      <left style="medium">
        <color indexed="8"/>
      </left>
      <right>
        <color indexed="63"/>
      </right>
      <top style="thin">
        <color indexed="8"/>
      </top>
      <bottom style="medium">
        <color indexed="8"/>
      </bottom>
    </border>
    <border>
      <left>
        <color indexed="63"/>
      </left>
      <right style="thin">
        <color indexed="8"/>
      </right>
      <top style="hair">
        <color indexed="8"/>
      </top>
      <bottom style="thin">
        <color indexed="8"/>
      </bottom>
    </border>
    <border>
      <left>
        <color indexed="63"/>
      </left>
      <right style="thin">
        <color indexed="8"/>
      </right>
      <top>
        <color indexed="63"/>
      </top>
      <bottom style="hair">
        <color indexed="8"/>
      </bottom>
    </border>
    <border>
      <left>
        <color indexed="63"/>
      </left>
      <right style="thin">
        <color indexed="8"/>
      </right>
      <top style="thin"/>
      <bottom style="medium"/>
    </border>
    <border>
      <left style="medium">
        <color indexed="8"/>
      </left>
      <right style="thin">
        <color indexed="8"/>
      </right>
      <top>
        <color indexed="63"/>
      </top>
      <bottom style="hair">
        <color indexed="8"/>
      </bottom>
    </border>
    <border>
      <left style="medium">
        <color indexed="8"/>
      </left>
      <right style="thin">
        <color indexed="8"/>
      </right>
      <top style="hair">
        <color indexed="8"/>
      </top>
      <bottom style="thin"/>
    </border>
    <border>
      <left style="thin">
        <color indexed="8"/>
      </left>
      <right style="medium">
        <color indexed="8"/>
      </right>
      <top style="hair">
        <color indexed="8"/>
      </top>
      <bottom style="thin"/>
    </border>
    <border>
      <left style="medium">
        <color indexed="8"/>
      </left>
      <right style="thin">
        <color indexed="8"/>
      </right>
      <top>
        <color indexed="63"/>
      </top>
      <bottom style="thin"/>
    </border>
    <border>
      <left style="thin">
        <color indexed="8"/>
      </left>
      <right style="medium">
        <color indexed="8"/>
      </right>
      <top>
        <color indexed="63"/>
      </top>
      <bottom style="thin"/>
    </border>
    <border>
      <left style="medium">
        <color indexed="8"/>
      </left>
      <right style="thin">
        <color indexed="8"/>
      </right>
      <top style="hair">
        <color indexed="8"/>
      </top>
      <bottom style="medium"/>
    </border>
    <border>
      <left style="thin">
        <color indexed="8"/>
      </left>
      <right style="medium">
        <color indexed="8"/>
      </right>
      <top style="hair">
        <color indexed="8"/>
      </top>
      <bottom style="medium"/>
    </border>
    <border>
      <left>
        <color indexed="63"/>
      </left>
      <right>
        <color indexed="63"/>
      </right>
      <top>
        <color indexed="63"/>
      </top>
      <bottom style="thin"/>
    </border>
    <border>
      <left>
        <color indexed="63"/>
      </left>
      <right>
        <color indexed="63"/>
      </right>
      <top style="thin"/>
      <bottom style="thin"/>
    </border>
    <border>
      <left style="thin">
        <color indexed="8"/>
      </left>
      <right style="thin">
        <color indexed="8"/>
      </right>
      <top>
        <color indexed="63"/>
      </top>
      <bottom style="medium">
        <color indexed="8"/>
      </bottom>
    </border>
    <border>
      <left>
        <color indexed="63"/>
      </left>
      <right style="medium">
        <color indexed="8"/>
      </right>
      <top style="hair">
        <color indexed="8"/>
      </top>
      <bottom style="hair">
        <color indexed="8"/>
      </bottom>
    </border>
    <border>
      <left style="hair">
        <color indexed="8"/>
      </left>
      <right style="medium">
        <color indexed="8"/>
      </right>
      <top style="hair">
        <color indexed="8"/>
      </top>
      <bottom style="medium">
        <color indexed="8"/>
      </bottom>
    </border>
    <border>
      <left style="medium">
        <color indexed="8"/>
      </left>
      <right>
        <color indexed="63"/>
      </right>
      <top style="medium"/>
      <bottom style="thin">
        <color indexed="8"/>
      </bottom>
    </border>
    <border>
      <left>
        <color indexed="63"/>
      </left>
      <right style="medium"/>
      <top style="medium"/>
      <bottom style="thin">
        <color indexed="8"/>
      </bottom>
    </border>
    <border>
      <left>
        <color indexed="63"/>
      </left>
      <right>
        <color indexed="63"/>
      </right>
      <top>
        <color indexed="63"/>
      </top>
      <bottom style="medium"/>
    </border>
    <border>
      <left style="thin"/>
      <right style="thin"/>
      <top>
        <color indexed="63"/>
      </top>
      <bottom style="hair">
        <color indexed="8"/>
      </bottom>
    </border>
    <border>
      <left style="medium">
        <color indexed="8"/>
      </left>
      <right style="thin"/>
      <top style="hair">
        <color indexed="8"/>
      </top>
      <bottom style="thin"/>
    </border>
    <border>
      <left style="thin"/>
      <right style="thin"/>
      <top style="hair">
        <color indexed="8"/>
      </top>
      <bottom style="thin"/>
    </border>
    <border>
      <left style="thin"/>
      <right style="thin"/>
      <top style="hair">
        <color indexed="8"/>
      </top>
      <bottom style="hair">
        <color indexed="8"/>
      </bottom>
    </border>
    <border>
      <left style="medium">
        <color indexed="8"/>
      </left>
      <right style="thin">
        <color indexed="8"/>
      </right>
      <top style="thin"/>
      <bottom style="medium"/>
    </border>
    <border>
      <left>
        <color indexed="63"/>
      </left>
      <right style="medium">
        <color indexed="8"/>
      </right>
      <top style="thin"/>
      <bottom style="medium"/>
    </border>
    <border>
      <left style="medium">
        <color indexed="8"/>
      </left>
      <right style="thin">
        <color indexed="8"/>
      </right>
      <top style="hair">
        <color indexed="8"/>
      </top>
      <bottom style="hair">
        <color indexed="8"/>
      </bottom>
    </border>
    <border>
      <left style="hair">
        <color indexed="8"/>
      </left>
      <right style="thin">
        <color indexed="8"/>
      </right>
      <top style="hair">
        <color indexed="8"/>
      </top>
      <bottom style="medium">
        <color indexed="8"/>
      </bottom>
    </border>
    <border>
      <left style="thin">
        <color indexed="8"/>
      </left>
      <right style="thin">
        <color indexed="8"/>
      </right>
      <top style="hair">
        <color indexed="8"/>
      </top>
      <bottom style="thin"/>
    </border>
    <border>
      <left>
        <color indexed="63"/>
      </left>
      <right style="thin"/>
      <top style="medium">
        <color indexed="8"/>
      </top>
      <bottom style="medium">
        <color indexed="8"/>
      </bottom>
    </border>
    <border>
      <left>
        <color indexed="63"/>
      </left>
      <right>
        <color indexed="63"/>
      </right>
      <top style="thin"/>
      <bottom>
        <color indexed="63"/>
      </bottom>
    </border>
    <border>
      <left>
        <color indexed="63"/>
      </left>
      <right style="medium">
        <color indexed="8"/>
      </right>
      <top style="medium">
        <color indexed="8"/>
      </top>
      <bottom style="medium"/>
    </border>
    <border>
      <left>
        <color indexed="63"/>
      </left>
      <right style="thin">
        <color indexed="8"/>
      </right>
      <top>
        <color indexed="63"/>
      </top>
      <bottom style="medium"/>
    </border>
    <border>
      <left>
        <color indexed="63"/>
      </left>
      <right style="medium">
        <color indexed="8"/>
      </right>
      <top>
        <color indexed="63"/>
      </top>
      <bottom style="hair">
        <color indexed="8"/>
      </bottom>
    </border>
    <border>
      <left>
        <color indexed="63"/>
      </left>
      <right style="medium">
        <color indexed="8"/>
      </right>
      <top style="hair">
        <color indexed="8"/>
      </top>
      <bottom style="thin"/>
    </border>
    <border>
      <left>
        <color indexed="63"/>
      </left>
      <right style="medium">
        <color indexed="8"/>
      </right>
      <top>
        <color indexed="63"/>
      </top>
      <bottom style="thin"/>
    </border>
    <border>
      <left style="hair">
        <color indexed="8"/>
      </left>
      <right>
        <color indexed="63"/>
      </right>
      <top style="medium">
        <color indexed="8"/>
      </top>
      <bottom style="thin">
        <color indexed="8"/>
      </bottom>
    </border>
    <border>
      <left style="hair">
        <color indexed="8"/>
      </left>
      <right>
        <color indexed="63"/>
      </right>
      <top style="hair">
        <color indexed="8"/>
      </top>
      <bottom style="medium">
        <color indexed="8"/>
      </bottom>
    </border>
    <border>
      <left style="medium">
        <color indexed="8"/>
      </left>
      <right style="medium">
        <color indexed="8"/>
      </right>
      <top style="medium"/>
      <bottom style="medium">
        <color indexed="8"/>
      </bottom>
    </border>
    <border>
      <left style="medium">
        <color indexed="8"/>
      </left>
      <right style="medium">
        <color indexed="8"/>
      </right>
      <top style="medium">
        <color indexed="8"/>
      </top>
      <bottom style="medium"/>
    </border>
    <border>
      <left>
        <color indexed="63"/>
      </left>
      <right>
        <color indexed="63"/>
      </right>
      <top style="medium">
        <color indexed="8"/>
      </top>
      <bottom style="medium"/>
    </border>
    <border>
      <left style="medium"/>
      <right style="medium"/>
      <top>
        <color indexed="63"/>
      </top>
      <bottom style="medium"/>
    </border>
    <border>
      <left style="medium">
        <color indexed="8"/>
      </left>
      <right style="thin">
        <color indexed="8"/>
      </right>
      <top style="thin"/>
      <bottom style="hair">
        <color indexed="8"/>
      </bottom>
    </border>
    <border>
      <left style="thin">
        <color indexed="8"/>
      </left>
      <right style="medium">
        <color indexed="8"/>
      </right>
      <top style="thin"/>
      <bottom style="hair">
        <color indexed="8"/>
      </bottom>
    </border>
    <border>
      <left style="hair">
        <color indexed="8"/>
      </left>
      <right style="medium">
        <color indexed="8"/>
      </right>
      <top style="hair">
        <color indexed="8"/>
      </top>
      <bottom style="thin"/>
    </border>
    <border>
      <left style="thin">
        <color indexed="8"/>
      </left>
      <right style="medium">
        <color indexed="8"/>
      </right>
      <top>
        <color indexed="63"/>
      </top>
      <bottom style="medium"/>
    </border>
    <border>
      <left style="medium">
        <color indexed="8"/>
      </left>
      <right style="thin">
        <color indexed="8"/>
      </right>
      <top>
        <color indexed="63"/>
      </top>
      <bottom style="medium"/>
    </border>
    <border>
      <left style="thin">
        <color indexed="8"/>
      </left>
      <right style="medium">
        <color indexed="8"/>
      </right>
      <top style="medium">
        <color indexed="8"/>
      </top>
      <bottom style="thin">
        <color indexed="8"/>
      </bottom>
    </border>
    <border>
      <left style="hair">
        <color indexed="8"/>
      </left>
      <right>
        <color indexed="63"/>
      </right>
      <top>
        <color indexed="63"/>
      </top>
      <bottom style="hair">
        <color indexed="8"/>
      </bottom>
    </border>
    <border>
      <left>
        <color indexed="63"/>
      </left>
      <right style="thin">
        <color indexed="8"/>
      </right>
      <top style="thin"/>
      <bottom style="hair">
        <color indexed="8"/>
      </bottom>
    </border>
    <border>
      <left style="medium">
        <color indexed="8"/>
      </left>
      <right style="thin">
        <color indexed="8"/>
      </right>
      <top style="hair">
        <color indexed="8"/>
      </top>
      <bottom style="medium">
        <color indexed="8"/>
      </bottom>
    </border>
    <border>
      <left>
        <color indexed="63"/>
      </left>
      <right style="thin">
        <color indexed="8"/>
      </right>
      <top style="hair">
        <color indexed="8"/>
      </top>
      <bottom style="medium">
        <color indexed="8"/>
      </bottom>
    </border>
    <border>
      <left style="thin">
        <color indexed="8"/>
      </left>
      <right style="thin">
        <color indexed="8"/>
      </right>
      <top style="hair">
        <color indexed="8"/>
      </top>
      <bottom style="thin">
        <color indexed="8"/>
      </bottom>
    </border>
    <border>
      <left style="thin">
        <color indexed="8"/>
      </left>
      <right style="thin">
        <color indexed="8"/>
      </right>
      <top>
        <color indexed="63"/>
      </top>
      <bottom style="medium"/>
    </border>
    <border>
      <left>
        <color indexed="63"/>
      </left>
      <right style="thin">
        <color indexed="8"/>
      </right>
      <top style="hair">
        <color indexed="8"/>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left>
        <color indexed="63"/>
      </left>
      <right>
        <color indexed="63"/>
      </right>
      <top>
        <color indexed="63"/>
      </top>
      <bottom style="thin">
        <color indexed="8"/>
      </bottom>
    </border>
    <border>
      <left style="thin">
        <color indexed="8"/>
      </left>
      <right style="medium">
        <color indexed="8"/>
      </right>
      <top style="medium"/>
      <bottom>
        <color indexed="63"/>
      </bottom>
    </border>
    <border>
      <left>
        <color indexed="63"/>
      </left>
      <right>
        <color indexed="63"/>
      </right>
      <top style="hair">
        <color indexed="8"/>
      </top>
      <bottom style="hair">
        <color indexed="8"/>
      </bottom>
    </border>
    <border>
      <left>
        <color indexed="63"/>
      </left>
      <right>
        <color indexed="63"/>
      </right>
      <top>
        <color indexed="63"/>
      </top>
      <bottom style="hair">
        <color indexed="8"/>
      </bottom>
    </border>
    <border>
      <left style="medium">
        <color indexed="8"/>
      </left>
      <right>
        <color indexed="63"/>
      </right>
      <top style="hair">
        <color indexed="8"/>
      </top>
      <bottom style="medium"/>
    </border>
    <border>
      <left>
        <color indexed="63"/>
      </left>
      <right style="thin">
        <color indexed="8"/>
      </right>
      <top style="hair">
        <color indexed="8"/>
      </top>
      <bottom style="medium"/>
    </border>
    <border>
      <left style="medium">
        <color indexed="8"/>
      </left>
      <right style="thin">
        <color indexed="8"/>
      </right>
      <top style="medium">
        <color indexed="8"/>
      </top>
      <bottom style="hair">
        <color indexed="8"/>
      </bottom>
    </border>
    <border>
      <left style="thin">
        <color indexed="8"/>
      </left>
      <right style="thin">
        <color indexed="8"/>
      </right>
      <top style="medium">
        <color indexed="8"/>
      </top>
      <bottom style="hair">
        <color indexed="8"/>
      </bottom>
    </border>
    <border>
      <left style="thin">
        <color indexed="8"/>
      </left>
      <right style="medium">
        <color indexed="8"/>
      </right>
      <top style="medium">
        <color indexed="8"/>
      </top>
      <bottom style="hair">
        <color indexed="8"/>
      </bottom>
    </border>
    <border>
      <left>
        <color indexed="63"/>
      </left>
      <right style="thin">
        <color indexed="8"/>
      </right>
      <top style="thin"/>
      <bottom style="thin"/>
    </border>
    <border>
      <left>
        <color indexed="63"/>
      </left>
      <right style="thin">
        <color indexed="8"/>
      </right>
      <top>
        <color indexed="63"/>
      </top>
      <bottom style="thin"/>
    </border>
    <border>
      <left style="medium">
        <color indexed="8"/>
      </left>
      <right style="thin">
        <color indexed="8"/>
      </right>
      <top style="thin"/>
      <bottom>
        <color indexed="63"/>
      </bottom>
    </border>
    <border>
      <left style="thin">
        <color indexed="8"/>
      </left>
      <right style="medium">
        <color indexed="8"/>
      </right>
      <top style="thin"/>
      <bottom>
        <color indexed="63"/>
      </bottom>
    </border>
    <border>
      <left style="thin">
        <color indexed="8"/>
      </left>
      <right style="thin"/>
      <top style="hair">
        <color indexed="8"/>
      </top>
      <bottom style="thin"/>
    </border>
    <border>
      <left style="thin"/>
      <right style="thin">
        <color indexed="8"/>
      </right>
      <top style="hair">
        <color indexed="8"/>
      </top>
      <bottom style="thin"/>
    </border>
    <border>
      <left style="medium">
        <color indexed="8"/>
      </left>
      <right style="thin">
        <color indexed="8"/>
      </right>
      <top style="hair">
        <color indexed="8"/>
      </top>
      <bottom style="thin">
        <color indexed="8"/>
      </bottom>
    </border>
    <border>
      <left style="medium">
        <color indexed="8"/>
      </left>
      <right style="thin"/>
      <top style="medium"/>
      <bottom style="hair">
        <color indexed="8"/>
      </bottom>
    </border>
    <border>
      <left style="medium">
        <color indexed="8"/>
      </left>
      <right style="thin"/>
      <top style="hair">
        <color indexed="8"/>
      </top>
      <bottom style="hair">
        <color indexed="8"/>
      </bottom>
    </border>
    <border>
      <left style="medium">
        <color indexed="8"/>
      </left>
      <right style="thin">
        <color indexed="8"/>
      </right>
      <top style="thin">
        <color indexed="8"/>
      </top>
      <bottom style="hair">
        <color indexed="8"/>
      </bottom>
    </border>
    <border>
      <left style="medium">
        <color indexed="8"/>
      </left>
      <right style="thin">
        <color indexed="8"/>
      </right>
      <top style="thin">
        <color indexed="8"/>
      </top>
      <bottom style="thin"/>
    </border>
    <border>
      <left>
        <color indexed="63"/>
      </left>
      <right style="medium"/>
      <top style="medium"/>
      <bottom style="hair">
        <color indexed="8"/>
      </bottom>
    </border>
    <border>
      <left>
        <color indexed="63"/>
      </left>
      <right style="medium"/>
      <top style="hair">
        <color indexed="8"/>
      </top>
      <bottom style="hair">
        <color indexed="8"/>
      </bottom>
    </border>
    <border>
      <left>
        <color indexed="63"/>
      </left>
      <right style="medium"/>
      <top style="hair">
        <color indexed="8"/>
      </top>
      <bottom style="thin"/>
    </border>
    <border>
      <left style="thin">
        <color indexed="8"/>
      </left>
      <right style="medium"/>
      <top style="thin"/>
      <bottom style="hair">
        <color indexed="8"/>
      </bottom>
    </border>
    <border>
      <left style="thin">
        <color indexed="8"/>
      </left>
      <right style="medium"/>
      <top style="hair">
        <color indexed="8"/>
      </top>
      <bottom style="hair">
        <color indexed="8"/>
      </bottom>
    </border>
    <border>
      <left style="thin">
        <color indexed="8"/>
      </left>
      <right style="medium"/>
      <top style="hair">
        <color indexed="8"/>
      </top>
      <bottom style="thin">
        <color indexed="8"/>
      </bottom>
    </border>
    <border>
      <left style="thin">
        <color indexed="8"/>
      </left>
      <right style="medium"/>
      <top style="thin">
        <color indexed="8"/>
      </top>
      <bottom style="hair">
        <color indexed="8"/>
      </bottom>
    </border>
    <border>
      <left style="thin">
        <color indexed="8"/>
      </left>
      <right style="medium"/>
      <top style="thin">
        <color indexed="8"/>
      </top>
      <bottom style="thin"/>
    </border>
    <border>
      <left style="thin">
        <color indexed="8"/>
      </left>
      <right style="medium"/>
      <top>
        <color indexed="63"/>
      </top>
      <bottom style="hair">
        <color indexed="8"/>
      </bottom>
    </border>
    <border>
      <left style="thin">
        <color indexed="8"/>
      </left>
      <right style="medium"/>
      <top style="hair">
        <color indexed="8"/>
      </top>
      <bottom style="medium"/>
    </border>
    <border>
      <left style="medium">
        <color indexed="8"/>
      </left>
      <right style="thin">
        <color indexed="8"/>
      </right>
      <top style="thin"/>
      <bottom style="thin"/>
    </border>
    <border>
      <left>
        <color indexed="63"/>
      </left>
      <right style="thin">
        <color indexed="8"/>
      </right>
      <top style="thin">
        <color indexed="8"/>
      </top>
      <bottom style="thin"/>
    </border>
    <border>
      <left style="thin">
        <color indexed="8"/>
      </left>
      <right style="thin">
        <color indexed="8"/>
      </right>
      <top style="thin">
        <color indexed="8"/>
      </top>
      <bottom style="medium"/>
    </border>
    <border>
      <left style="thin">
        <color indexed="8"/>
      </left>
      <right style="thin"/>
      <top style="thin"/>
      <bottom style="hair">
        <color indexed="8"/>
      </bottom>
    </border>
    <border>
      <left style="thin">
        <color indexed="8"/>
      </left>
      <right style="thin"/>
      <top style="hair">
        <color indexed="8"/>
      </top>
      <bottom style="hair">
        <color indexed="8"/>
      </bottom>
    </border>
    <border>
      <left style="thin">
        <color indexed="8"/>
      </left>
      <right style="thin"/>
      <top>
        <color indexed="63"/>
      </top>
      <bottom style="medium">
        <color indexed="8"/>
      </bottom>
    </border>
    <border>
      <left style="thin"/>
      <right style="thin">
        <color indexed="8"/>
      </right>
      <top style="medium">
        <color indexed="8"/>
      </top>
      <bottom style="medium">
        <color indexed="8"/>
      </bottom>
    </border>
    <border>
      <left>
        <color indexed="63"/>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border>
    <border>
      <left style="thin">
        <color indexed="8"/>
      </left>
      <right style="thin">
        <color indexed="8"/>
      </right>
      <top style="medium"/>
      <bottom>
        <color indexed="63"/>
      </bottom>
    </border>
    <border>
      <left>
        <color indexed="63"/>
      </left>
      <right style="thin">
        <color indexed="8"/>
      </right>
      <top style="medium"/>
      <bottom>
        <color indexed="63"/>
      </bottom>
    </border>
    <border>
      <left>
        <color indexed="63"/>
      </left>
      <right style="thin"/>
      <top>
        <color indexed="63"/>
      </top>
      <bottom style="medium"/>
    </border>
    <border>
      <left>
        <color indexed="63"/>
      </left>
      <right style="thin"/>
      <top style="medium"/>
      <bottom>
        <color indexed="63"/>
      </bottom>
    </border>
    <border>
      <left style="thin">
        <color indexed="8"/>
      </left>
      <right style="medium">
        <color indexed="8"/>
      </right>
      <top style="thin"/>
      <bottom style="medium"/>
    </border>
    <border>
      <left style="medium">
        <color indexed="8"/>
      </left>
      <right style="thin"/>
      <top style="thin"/>
      <bottom style="medium"/>
    </border>
    <border>
      <left style="thin"/>
      <right style="thin"/>
      <top style="thin"/>
      <bottom style="medium"/>
    </border>
    <border>
      <left>
        <color indexed="63"/>
      </left>
      <right style="thin"/>
      <top>
        <color indexed="63"/>
      </top>
      <bottom style="hair">
        <color indexed="8"/>
      </bottom>
    </border>
    <border>
      <left style="thin"/>
      <right style="medium"/>
      <top style="medium">
        <color indexed="8"/>
      </top>
      <bottom style="hair">
        <color indexed="8"/>
      </bottom>
    </border>
    <border>
      <left style="thin"/>
      <right style="medium"/>
      <top>
        <color indexed="63"/>
      </top>
      <bottom style="hair">
        <color indexed="8"/>
      </bottom>
    </border>
    <border>
      <left>
        <color indexed="63"/>
      </left>
      <right style="thin"/>
      <top style="hair">
        <color indexed="8"/>
      </top>
      <bottom style="thin"/>
    </border>
    <border>
      <left style="thin"/>
      <right style="medium"/>
      <top style="hair">
        <color indexed="8"/>
      </top>
      <bottom style="thin"/>
    </border>
    <border>
      <left style="medium"/>
      <right style="thin"/>
      <top style="hair">
        <color indexed="8"/>
      </top>
      <bottom style="thin"/>
    </border>
    <border>
      <left style="thin">
        <color indexed="8"/>
      </left>
      <right style="thin">
        <color indexed="8"/>
      </right>
      <top style="hair">
        <color indexed="8"/>
      </top>
      <bottom>
        <color indexed="63"/>
      </bottom>
    </border>
    <border>
      <left style="thin">
        <color indexed="8"/>
      </left>
      <right style="medium">
        <color indexed="8"/>
      </right>
      <top style="hair">
        <color indexed="8"/>
      </top>
      <bottom>
        <color indexed="63"/>
      </bottom>
    </border>
    <border>
      <left style="thin">
        <color indexed="8"/>
      </left>
      <right style="thin">
        <color indexed="8"/>
      </right>
      <top style="thin">
        <color indexed="8"/>
      </top>
      <bottom style="hair">
        <color indexed="8"/>
      </bottom>
    </border>
    <border>
      <left style="thin">
        <color indexed="8"/>
      </left>
      <right style="medium">
        <color indexed="8"/>
      </right>
      <top style="thin">
        <color indexed="8"/>
      </top>
      <bottom style="hair">
        <color indexed="8"/>
      </bottom>
    </border>
    <border>
      <left style="thin">
        <color indexed="8"/>
      </left>
      <right style="medium">
        <color indexed="8"/>
      </right>
      <top style="hair">
        <color indexed="8"/>
      </top>
      <bottom style="thin">
        <color indexed="8"/>
      </bottom>
    </border>
    <border>
      <left style="medium"/>
      <right style="thin"/>
      <top style="thin"/>
      <bottom style="hair"/>
    </border>
    <border>
      <left style="thin"/>
      <right style="medium"/>
      <top style="thin"/>
      <bottom style="hair"/>
    </border>
    <border>
      <left style="medium"/>
      <right style="thin"/>
      <top>
        <color indexed="63"/>
      </top>
      <bottom style="hair"/>
    </border>
    <border>
      <left style="thin"/>
      <right style="medium"/>
      <top>
        <color indexed="63"/>
      </top>
      <bottom style="hair"/>
    </border>
    <border>
      <left style="thin">
        <color indexed="8"/>
      </left>
      <right style="thin">
        <color indexed="8"/>
      </right>
      <top style="thin"/>
      <bottom style="thin"/>
    </border>
    <border>
      <left style="thin">
        <color indexed="8"/>
      </left>
      <right style="medium">
        <color indexed="8"/>
      </right>
      <top style="thin"/>
      <bottom style="thin"/>
    </border>
    <border>
      <left style="thin">
        <color indexed="8"/>
      </left>
      <right style="thin">
        <color indexed="8"/>
      </right>
      <top style="medium"/>
      <bottom style="hair">
        <color indexed="8"/>
      </bottom>
    </border>
    <border>
      <left style="thin">
        <color indexed="8"/>
      </left>
      <right style="medium">
        <color indexed="8"/>
      </right>
      <top style="medium"/>
      <bottom style="hair">
        <color indexed="8"/>
      </bottom>
    </border>
    <border>
      <left style="thin">
        <color indexed="8"/>
      </left>
      <right style="medium">
        <color indexed="8"/>
      </right>
      <top style="hair">
        <color indexed="8"/>
      </top>
      <bottom style="medium">
        <color indexed="8"/>
      </bottom>
    </border>
    <border>
      <left style="medium"/>
      <right style="thin"/>
      <top style="hair">
        <color indexed="8"/>
      </top>
      <bottom style="medium"/>
    </border>
    <border>
      <left style="thin"/>
      <right style="thin"/>
      <top style="hair">
        <color indexed="8"/>
      </top>
      <bottom style="medium"/>
    </border>
    <border>
      <left style="thin"/>
      <right style="medium"/>
      <top>
        <color indexed="63"/>
      </top>
      <bottom style="medium">
        <color indexed="8"/>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medium">
        <color indexed="8"/>
      </top>
      <bottom style="thin"/>
    </border>
    <border>
      <left style="thin">
        <color indexed="8"/>
      </left>
      <right style="medium">
        <color indexed="8"/>
      </right>
      <top style="medium">
        <color indexed="8"/>
      </top>
      <bottom style="medium">
        <color indexed="8"/>
      </bottom>
    </border>
    <border>
      <left>
        <color indexed="63"/>
      </left>
      <right style="medium">
        <color indexed="8"/>
      </right>
      <top>
        <color indexed="63"/>
      </top>
      <bottom style="medium"/>
    </border>
    <border>
      <left style="medium"/>
      <right style="thin">
        <color indexed="8"/>
      </right>
      <top style="hair">
        <color indexed="8"/>
      </top>
      <bottom style="hair">
        <color indexed="8"/>
      </bottom>
    </border>
    <border>
      <left style="medium"/>
      <right style="thin">
        <color indexed="8"/>
      </right>
      <top style="hair">
        <color indexed="8"/>
      </top>
      <bottom style="thin"/>
    </border>
    <border>
      <left style="thin"/>
      <right style="medium"/>
      <top>
        <color indexed="63"/>
      </top>
      <bottom>
        <color indexed="63"/>
      </bottom>
    </border>
    <border>
      <left style="thin"/>
      <right style="medium"/>
      <top style="hair"/>
      <bottom style="hair">
        <color indexed="8"/>
      </bottom>
    </border>
    <border>
      <left style="medium">
        <color indexed="8"/>
      </left>
      <right style="medium">
        <color indexed="8"/>
      </right>
      <top style="medium">
        <color indexed="8"/>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color indexed="8"/>
      </left>
      <right style="thin"/>
      <top>
        <color indexed="63"/>
      </top>
      <bottom>
        <color indexed="63"/>
      </bottom>
    </border>
    <border>
      <left style="thin">
        <color indexed="8"/>
      </left>
      <right style="thin"/>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color indexed="8"/>
      </left>
      <right style="thin">
        <color indexed="8"/>
      </right>
      <top style="medium"/>
      <bottom>
        <color indexed="63"/>
      </bottom>
    </border>
    <border>
      <left style="thin">
        <color indexed="8"/>
      </left>
      <right>
        <color indexed="63"/>
      </right>
      <top style="medium">
        <color indexed="8"/>
      </top>
      <bottom>
        <color indexed="63"/>
      </bottom>
    </border>
    <border>
      <left style="medium">
        <color indexed="8"/>
      </left>
      <right>
        <color indexed="63"/>
      </right>
      <top style="medium"/>
      <bottom>
        <color indexed="63"/>
      </bottom>
    </border>
    <border>
      <left style="medium">
        <color indexed="8"/>
      </left>
      <right>
        <color indexed="63"/>
      </right>
      <top>
        <color indexed="63"/>
      </top>
      <bottom style="medium"/>
    </border>
    <border>
      <left style="medium">
        <color indexed="8"/>
      </left>
      <right style="thin">
        <color indexed="8"/>
      </right>
      <top style="medium">
        <color indexed="8"/>
      </top>
      <bottom>
        <color indexed="63"/>
      </bottom>
    </border>
    <border>
      <left style="thin"/>
      <right style="medium">
        <color indexed="8"/>
      </right>
      <top>
        <color indexed="63"/>
      </top>
      <bottom>
        <color indexed="63"/>
      </bottom>
    </border>
    <border>
      <left style="thin"/>
      <right style="medium">
        <color indexed="8"/>
      </right>
      <top>
        <color indexed="63"/>
      </top>
      <bottom style="medium"/>
    </border>
    <border>
      <left style="thin"/>
      <right style="medium"/>
      <top style="thin"/>
      <bottom>
        <color indexed="63"/>
      </bottom>
    </border>
    <border>
      <left style="thin"/>
      <right style="medium"/>
      <top>
        <color indexed="63"/>
      </top>
      <bottom style="medium"/>
    </border>
    <border>
      <left>
        <color indexed="63"/>
      </left>
      <right style="thin"/>
      <top style="thin">
        <color indexed="8"/>
      </top>
      <bottom style="medium">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9"/>
      </bottom>
    </border>
    <border>
      <left>
        <color indexed="63"/>
      </left>
      <right style="medium">
        <color indexed="8"/>
      </right>
      <top style="medium">
        <color indexed="8"/>
      </top>
      <bottom style="hair">
        <color indexed="8"/>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color indexed="63"/>
      </left>
      <right>
        <color indexed="63"/>
      </right>
      <top style="thin">
        <color indexed="9"/>
      </top>
      <bottom style="thin">
        <color indexed="9"/>
      </bottom>
    </border>
    <border>
      <left style="medium">
        <color indexed="8"/>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color indexed="8"/>
      </left>
      <right style="thin">
        <color indexed="8"/>
      </right>
      <top style="medium">
        <color indexed="8"/>
      </top>
      <bottom style="medium">
        <color indexed="8"/>
      </bottom>
    </border>
    <border>
      <left style="thin">
        <color indexed="8"/>
      </left>
      <right style="thin">
        <color indexed="8"/>
      </right>
      <top style="thin"/>
      <bottom>
        <color indexed="63"/>
      </bottom>
    </border>
    <border>
      <left>
        <color indexed="63"/>
      </left>
      <right>
        <color indexed="63"/>
      </right>
      <top style="thin">
        <color indexed="9"/>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hair"/>
    </border>
    <border diagonalUp="1" diagonalDown="1">
      <left style="thin">
        <color indexed="8"/>
      </left>
      <right style="medium"/>
      <top style="medium">
        <color indexed="8"/>
      </top>
      <bottom>
        <color indexed="63"/>
      </bottom>
      <diagonal style="thin">
        <color indexed="8"/>
      </diagonal>
    </border>
    <border diagonalUp="1" diagonalDown="1">
      <left style="thin">
        <color indexed="8"/>
      </left>
      <right style="medium"/>
      <top>
        <color indexed="63"/>
      </top>
      <bottom>
        <color indexed="63"/>
      </bottom>
      <diagonal style="thin">
        <color indexed="8"/>
      </diagonal>
    </border>
    <border diagonalUp="1" diagonalDown="1">
      <left style="thin">
        <color indexed="8"/>
      </left>
      <right style="medium"/>
      <top>
        <color indexed="63"/>
      </top>
      <bottom style="hair">
        <color indexed="8"/>
      </bottom>
      <diagonal style="thin">
        <color indexed="8"/>
      </diagonal>
    </border>
    <border>
      <left style="medium">
        <color indexed="8"/>
      </left>
      <right style="medium">
        <color indexed="8"/>
      </right>
      <top style="medium">
        <color indexed="8"/>
      </top>
      <bottom style="medium">
        <color indexed="8"/>
      </bottom>
    </border>
    <border>
      <left>
        <color indexed="63"/>
      </left>
      <right>
        <color indexed="63"/>
      </right>
      <top style="thin">
        <color indexed="55"/>
      </top>
      <bottom>
        <color indexed="63"/>
      </bottom>
    </border>
    <border diagonalDown="1">
      <left style="medium">
        <color indexed="8"/>
      </left>
      <right>
        <color indexed="63"/>
      </right>
      <top style="medium">
        <color indexed="8"/>
      </top>
      <bottom>
        <color indexed="63"/>
      </bottom>
      <diagonal style="thin">
        <color indexed="8"/>
      </diagonal>
    </border>
    <border diagonalDown="1">
      <left>
        <color indexed="63"/>
      </left>
      <right>
        <color indexed="63"/>
      </right>
      <top style="medium">
        <color indexed="8"/>
      </top>
      <bottom>
        <color indexed="63"/>
      </bottom>
      <diagonal style="thin">
        <color indexed="8"/>
      </diagonal>
    </border>
    <border diagonalDown="1">
      <left style="medium">
        <color indexed="8"/>
      </left>
      <right>
        <color indexed="63"/>
      </right>
      <top>
        <color indexed="63"/>
      </top>
      <bottom>
        <color indexed="63"/>
      </bottom>
      <diagonal style="thin">
        <color indexed="8"/>
      </diagonal>
    </border>
    <border diagonalDown="1">
      <left>
        <color indexed="63"/>
      </left>
      <right>
        <color indexed="63"/>
      </right>
      <top>
        <color indexed="63"/>
      </top>
      <bottom>
        <color indexed="63"/>
      </bottom>
      <diagonal style="thin">
        <color indexed="8"/>
      </diagonal>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9" fillId="2" borderId="0" applyNumberFormat="0" applyBorder="0" applyAlignment="0" applyProtection="0"/>
    <xf numFmtId="0" fontId="99" fillId="3" borderId="0" applyNumberFormat="0" applyBorder="0" applyAlignment="0" applyProtection="0"/>
    <xf numFmtId="0" fontId="99" fillId="4" borderId="0" applyNumberFormat="0" applyBorder="0" applyAlignment="0" applyProtection="0"/>
    <xf numFmtId="0" fontId="99" fillId="5" borderId="0" applyNumberFormat="0" applyBorder="0" applyAlignment="0" applyProtection="0"/>
    <xf numFmtId="0" fontId="99" fillId="6" borderId="0" applyNumberFormat="0" applyBorder="0" applyAlignment="0" applyProtection="0"/>
    <xf numFmtId="0" fontId="99" fillId="7" borderId="0" applyNumberFormat="0" applyBorder="0" applyAlignment="0" applyProtection="0"/>
    <xf numFmtId="0" fontId="99" fillId="8" borderId="0" applyNumberFormat="0" applyBorder="0" applyAlignment="0" applyProtection="0"/>
    <xf numFmtId="0" fontId="99" fillId="9" borderId="0" applyNumberFormat="0" applyBorder="0" applyAlignment="0" applyProtection="0"/>
    <xf numFmtId="0" fontId="99" fillId="10" borderId="0" applyNumberFormat="0" applyBorder="0" applyAlignment="0" applyProtection="0"/>
    <xf numFmtId="0" fontId="99" fillId="11" borderId="0" applyNumberFormat="0" applyBorder="0" applyAlignment="0" applyProtection="0"/>
    <xf numFmtId="0" fontId="99" fillId="12" borderId="0" applyNumberFormat="0" applyBorder="0" applyAlignment="0" applyProtection="0"/>
    <xf numFmtId="0" fontId="99" fillId="13" borderId="0" applyNumberFormat="0" applyBorder="0" applyAlignment="0" applyProtection="0"/>
    <xf numFmtId="0" fontId="100" fillId="14" borderId="0" applyNumberFormat="0" applyBorder="0" applyAlignment="0" applyProtection="0"/>
    <xf numFmtId="0" fontId="100" fillId="15" borderId="0" applyNumberFormat="0" applyBorder="0" applyAlignment="0" applyProtection="0"/>
    <xf numFmtId="0" fontId="100"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100" fillId="19" borderId="0" applyNumberFormat="0" applyBorder="0" applyAlignment="0" applyProtection="0"/>
    <xf numFmtId="0" fontId="100"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100" fillId="23" borderId="0" applyNumberFormat="0" applyBorder="0" applyAlignment="0" applyProtection="0"/>
    <xf numFmtId="0" fontId="100" fillId="24" borderId="0" applyNumberFormat="0" applyBorder="0" applyAlignment="0" applyProtection="0"/>
    <xf numFmtId="0" fontId="100" fillId="25" borderId="0" applyNumberFormat="0" applyBorder="0" applyAlignment="0" applyProtection="0"/>
    <xf numFmtId="0" fontId="101" fillId="26" borderId="1" applyNumberFormat="0" applyAlignment="0" applyProtection="0"/>
    <xf numFmtId="0" fontId="102" fillId="26" borderId="2" applyNumberFormat="0" applyAlignment="0" applyProtection="0"/>
    <xf numFmtId="0" fontId="67" fillId="0" borderId="0" applyNumberFormat="0" applyFill="0" applyBorder="0" applyAlignment="0" applyProtection="0"/>
    <xf numFmtId="41" fontId="0" fillId="0" borderId="0" applyFill="0" applyBorder="0" applyAlignment="0" applyProtection="0"/>
    <xf numFmtId="0" fontId="103" fillId="27" borderId="2" applyNumberFormat="0" applyAlignment="0" applyProtection="0"/>
    <xf numFmtId="0" fontId="104" fillId="0" borderId="3" applyNumberFormat="0" applyFill="0" applyAlignment="0" applyProtection="0"/>
    <xf numFmtId="0" fontId="105" fillId="0" borderId="0" applyNumberFormat="0" applyFill="0" applyBorder="0" applyAlignment="0" applyProtection="0"/>
    <xf numFmtId="0" fontId="106" fillId="28" borderId="0" applyNumberFormat="0" applyBorder="0" applyAlignment="0" applyProtection="0"/>
    <xf numFmtId="43" fontId="0" fillId="0" borderId="0" applyFill="0" applyBorder="0" applyAlignment="0" applyProtection="0"/>
    <xf numFmtId="0" fontId="10" fillId="0" borderId="0" applyNumberFormat="0" applyFill="0" applyBorder="0" applyAlignment="0" applyProtection="0"/>
    <xf numFmtId="0" fontId="107" fillId="29" borderId="0" applyNumberFormat="0" applyBorder="0" applyAlignment="0" applyProtection="0"/>
    <xf numFmtId="0" fontId="0" fillId="30" borderId="4" applyNumberFormat="0" applyFont="0" applyAlignment="0" applyProtection="0"/>
    <xf numFmtId="9" fontId="0" fillId="0" borderId="0" applyFill="0" applyBorder="0" applyAlignment="0" applyProtection="0"/>
    <xf numFmtId="0" fontId="108" fillId="31" borderId="0" applyNumberFormat="0" applyBorder="0" applyAlignment="0" applyProtection="0"/>
    <xf numFmtId="0" fontId="109" fillId="0" borderId="0" applyNumberFormat="0" applyFill="0" applyBorder="0" applyAlignment="0" applyProtection="0"/>
    <xf numFmtId="0" fontId="110" fillId="0" borderId="5" applyNumberFormat="0" applyFill="0" applyAlignment="0" applyProtection="0"/>
    <xf numFmtId="0" fontId="111" fillId="0" borderId="6" applyNumberFormat="0" applyFill="0" applyAlignment="0" applyProtection="0"/>
    <xf numFmtId="0" fontId="112" fillId="0" borderId="7" applyNumberFormat="0" applyFill="0" applyAlignment="0" applyProtection="0"/>
    <xf numFmtId="0" fontId="112" fillId="0" borderId="0" applyNumberFormat="0" applyFill="0" applyBorder="0" applyAlignment="0" applyProtection="0"/>
    <xf numFmtId="0" fontId="113" fillId="0" borderId="8" applyNumberFormat="0" applyFill="0" applyAlignment="0" applyProtection="0"/>
    <xf numFmtId="44" fontId="0" fillId="0" borderId="0" applyFill="0" applyBorder="0" applyAlignment="0" applyProtection="0"/>
    <xf numFmtId="42" fontId="0" fillId="0" borderId="0" applyFill="0" applyBorder="0" applyAlignment="0" applyProtection="0"/>
    <xf numFmtId="0" fontId="114" fillId="0" borderId="0" applyNumberFormat="0" applyFill="0" applyBorder="0" applyAlignment="0" applyProtection="0"/>
    <xf numFmtId="0" fontId="115" fillId="32" borderId="9" applyNumberFormat="0" applyAlignment="0" applyProtection="0"/>
  </cellStyleXfs>
  <cellXfs count="1591">
    <xf numFmtId="0" fontId="0" fillId="0" borderId="0" xfId="0" applyAlignment="1">
      <alignment/>
    </xf>
    <xf numFmtId="0" fontId="0" fillId="33" borderId="0" xfId="0" applyFill="1" applyAlignment="1">
      <alignment/>
    </xf>
    <xf numFmtId="0" fontId="1" fillId="33" borderId="0" xfId="0" applyFont="1" applyFill="1" applyAlignment="1">
      <alignment/>
    </xf>
    <xf numFmtId="0" fontId="4" fillId="33" borderId="0" xfId="0" applyFont="1" applyFill="1" applyAlignment="1">
      <alignment vertical="center"/>
    </xf>
    <xf numFmtId="0" fontId="5" fillId="33" borderId="0" xfId="0" applyFont="1" applyFill="1" applyAlignment="1">
      <alignment/>
    </xf>
    <xf numFmtId="0" fontId="0" fillId="33" borderId="0" xfId="0" applyFill="1" applyAlignment="1">
      <alignment vertical="center"/>
    </xf>
    <xf numFmtId="0" fontId="6" fillId="33" borderId="10" xfId="0" applyFont="1" applyFill="1" applyBorder="1" applyAlignment="1">
      <alignment horizontal="right" wrapText="1"/>
    </xf>
    <xf numFmtId="0" fontId="7" fillId="33" borderId="0" xfId="0" applyFont="1" applyFill="1" applyAlignment="1">
      <alignment horizontal="center" vertical="top" wrapText="1"/>
    </xf>
    <xf numFmtId="0" fontId="8" fillId="33" borderId="0" xfId="0" applyFont="1" applyFill="1" applyAlignment="1">
      <alignment horizontal="center" vertical="top" wrapText="1"/>
    </xf>
    <xf numFmtId="0" fontId="9" fillId="33" borderId="0" xfId="0" applyFont="1" applyFill="1" applyAlignment="1">
      <alignment horizontal="center" vertical="center"/>
    </xf>
    <xf numFmtId="0" fontId="10" fillId="33" borderId="0" xfId="48" applyNumberFormat="1" applyFont="1" applyFill="1" applyBorder="1" applyAlignment="1" applyProtection="1">
      <alignment/>
      <protection/>
    </xf>
    <xf numFmtId="0" fontId="10" fillId="33" borderId="0" xfId="48" applyNumberFormat="1" applyFont="1" applyFill="1" applyBorder="1" applyAlignment="1" applyProtection="1">
      <alignment horizontal="center"/>
      <protection/>
    </xf>
    <xf numFmtId="0" fontId="8" fillId="33" borderId="0" xfId="0" applyFont="1" applyFill="1" applyBorder="1" applyAlignment="1">
      <alignment vertical="top" wrapText="1"/>
    </xf>
    <xf numFmtId="0" fontId="11" fillId="33" borderId="0" xfId="0" applyFont="1" applyFill="1" applyAlignment="1">
      <alignment horizontal="center" vertical="top" wrapText="1"/>
    </xf>
    <xf numFmtId="0" fontId="12" fillId="33" borderId="0" xfId="0" applyFont="1" applyFill="1" applyAlignment="1">
      <alignment horizontal="center" vertical="top" wrapText="1"/>
    </xf>
    <xf numFmtId="0" fontId="13" fillId="33" borderId="0" xfId="0" applyFont="1" applyFill="1" applyAlignment="1">
      <alignment/>
    </xf>
    <xf numFmtId="0" fontId="14" fillId="33" borderId="0" xfId="0" applyFont="1" applyFill="1" applyAlignment="1">
      <alignment/>
    </xf>
    <xf numFmtId="0" fontId="14" fillId="33" borderId="0" xfId="0" applyFont="1" applyFill="1" applyAlignment="1">
      <alignment/>
    </xf>
    <xf numFmtId="0" fontId="4" fillId="33" borderId="0" xfId="0" applyFont="1" applyFill="1" applyAlignment="1">
      <alignment/>
    </xf>
    <xf numFmtId="0" fontId="14" fillId="33" borderId="0" xfId="0" applyFont="1" applyFill="1" applyBorder="1" applyAlignment="1">
      <alignment/>
    </xf>
    <xf numFmtId="0" fontId="15" fillId="33" borderId="0" xfId="0" applyFont="1" applyFill="1" applyAlignment="1" applyProtection="1">
      <alignment/>
      <protection locked="0"/>
    </xf>
    <xf numFmtId="0" fontId="16" fillId="34" borderId="0" xfId="0" applyFont="1" applyFill="1" applyBorder="1" applyAlignment="1">
      <alignment vertical="center"/>
    </xf>
    <xf numFmtId="0" fontId="14" fillId="34" borderId="0" xfId="0" applyFont="1" applyFill="1" applyBorder="1" applyAlignment="1">
      <alignment vertical="center"/>
    </xf>
    <xf numFmtId="0" fontId="17" fillId="34" borderId="0" xfId="0" applyFont="1" applyFill="1" applyBorder="1" applyAlignment="1">
      <alignment vertical="center"/>
    </xf>
    <xf numFmtId="0" fontId="0" fillId="34" borderId="0" xfId="0" applyFill="1" applyBorder="1" applyAlignment="1">
      <alignment vertical="center"/>
    </xf>
    <xf numFmtId="0" fontId="17" fillId="34" borderId="0" xfId="0" applyFont="1" applyFill="1" applyBorder="1" applyAlignment="1">
      <alignment horizontal="right" vertical="center"/>
    </xf>
    <xf numFmtId="0" fontId="18" fillId="33" borderId="0" xfId="0" applyFont="1" applyFill="1" applyAlignment="1">
      <alignment horizontal="center"/>
    </xf>
    <xf numFmtId="0" fontId="19" fillId="33" borderId="0" xfId="48" applyNumberFormat="1" applyFont="1" applyFill="1" applyBorder="1" applyAlignment="1" applyProtection="1">
      <alignment vertical="center"/>
      <protection/>
    </xf>
    <xf numFmtId="14" fontId="14" fillId="33" borderId="0" xfId="0" applyNumberFormat="1" applyFont="1" applyFill="1" applyAlignment="1">
      <alignment horizontal="left"/>
    </xf>
    <xf numFmtId="0" fontId="20" fillId="33" borderId="0" xfId="0" applyFont="1" applyFill="1" applyAlignment="1" applyProtection="1">
      <alignment horizontal="left"/>
      <protection/>
    </xf>
    <xf numFmtId="0" fontId="20" fillId="33" borderId="0" xfId="0" applyFont="1" applyFill="1" applyAlignment="1" applyProtection="1">
      <alignment/>
      <protection hidden="1"/>
    </xf>
    <xf numFmtId="0" fontId="21" fillId="33" borderId="0" xfId="0" applyFont="1" applyFill="1" applyAlignment="1" applyProtection="1">
      <alignment horizontal="left"/>
      <protection/>
    </xf>
    <xf numFmtId="0" fontId="0" fillId="33" borderId="0" xfId="0" applyFill="1" applyAlignment="1">
      <alignment/>
    </xf>
    <xf numFmtId="0" fontId="0" fillId="0" borderId="0" xfId="0" applyAlignment="1" applyProtection="1">
      <alignment/>
      <protection/>
    </xf>
    <xf numFmtId="0" fontId="0" fillId="0" borderId="0" xfId="0" applyFont="1" applyFill="1" applyAlignment="1" applyProtection="1">
      <alignment horizontal="center"/>
      <protection/>
    </xf>
    <xf numFmtId="0" fontId="0" fillId="0" borderId="0" xfId="0" applyFont="1" applyFill="1" applyAlignment="1" applyProtection="1">
      <alignment horizontal="left" wrapText="1"/>
      <protection/>
    </xf>
    <xf numFmtId="0" fontId="0" fillId="0" borderId="0" xfId="0" applyFont="1" applyAlignment="1" applyProtection="1">
      <alignment wrapText="1"/>
      <protection/>
    </xf>
    <xf numFmtId="0" fontId="0" fillId="0" borderId="0" xfId="0" applyFont="1" applyAlignment="1" applyProtection="1">
      <alignment horizontal="center" wrapText="1"/>
      <protection/>
    </xf>
    <xf numFmtId="0" fontId="24" fillId="0" borderId="0" xfId="0" applyFont="1" applyBorder="1" applyAlignment="1" applyProtection="1">
      <alignment horizontal="center" vertical="top" wrapText="1"/>
      <protection/>
    </xf>
    <xf numFmtId="0" fontId="27" fillId="0" borderId="0" xfId="0" applyFont="1" applyAlignment="1" applyProtection="1">
      <alignment/>
      <protection/>
    </xf>
    <xf numFmtId="0" fontId="17" fillId="0" borderId="0" xfId="0" applyFont="1" applyAlignment="1" applyProtection="1">
      <alignment/>
      <protection hidden="1"/>
    </xf>
    <xf numFmtId="0" fontId="25" fillId="35" borderId="11" xfId="0" applyFont="1" applyFill="1" applyBorder="1" applyAlignment="1" applyProtection="1">
      <alignment horizontal="center" vertical="center"/>
      <protection/>
    </xf>
    <xf numFmtId="0" fontId="26" fillId="35" borderId="12" xfId="0" applyFont="1" applyFill="1" applyBorder="1" applyAlignment="1" applyProtection="1">
      <alignment horizontal="center" vertical="center"/>
      <protection/>
    </xf>
    <xf numFmtId="0" fontId="16" fillId="36" borderId="13" xfId="0" applyFont="1" applyFill="1" applyBorder="1" applyAlignment="1" applyProtection="1">
      <alignment horizontal="center" vertical="center"/>
      <protection hidden="1"/>
    </xf>
    <xf numFmtId="0" fontId="0" fillId="0" borderId="0" xfId="0" applyAlignment="1">
      <alignment horizontal="center"/>
    </xf>
    <xf numFmtId="0" fontId="16" fillId="36" borderId="14" xfId="0" applyFont="1" applyFill="1" applyBorder="1" applyAlignment="1" applyProtection="1">
      <alignment horizontal="center" vertical="center"/>
      <protection hidden="1"/>
    </xf>
    <xf numFmtId="0" fontId="0" fillId="0" borderId="0" xfId="0" applyAlignment="1" applyProtection="1">
      <alignment/>
      <protection hidden="1"/>
    </xf>
    <xf numFmtId="0" fontId="36" fillId="0" borderId="0" xfId="0" applyFont="1" applyAlignment="1" applyProtection="1">
      <alignment vertical="center" wrapText="1"/>
      <protection/>
    </xf>
    <xf numFmtId="0" fontId="0" fillId="0" borderId="0" xfId="0" applyBorder="1" applyAlignment="1">
      <alignment/>
    </xf>
    <xf numFmtId="0" fontId="16" fillId="33" borderId="15" xfId="0" applyFont="1" applyFill="1" applyBorder="1" applyAlignment="1" applyProtection="1">
      <alignment horizontal="center" vertical="center"/>
      <protection hidden="1"/>
    </xf>
    <xf numFmtId="0" fontId="16" fillId="33" borderId="16" xfId="0" applyFont="1" applyFill="1" applyBorder="1" applyAlignment="1" applyProtection="1">
      <alignment horizontal="center" vertical="center"/>
      <protection hidden="1"/>
    </xf>
    <xf numFmtId="0" fontId="27" fillId="0" borderId="0" xfId="0" applyFont="1" applyFill="1" applyBorder="1" applyAlignment="1" applyProtection="1">
      <alignment/>
      <protection/>
    </xf>
    <xf numFmtId="0" fontId="0" fillId="0" borderId="17" xfId="0" applyBorder="1" applyAlignment="1" applyProtection="1">
      <alignment vertical="center"/>
      <protection/>
    </xf>
    <xf numFmtId="0" fontId="0" fillId="0" borderId="17" xfId="0" applyBorder="1" applyAlignment="1" applyProtection="1">
      <alignment horizontal="center" vertical="center"/>
      <protection/>
    </xf>
    <xf numFmtId="0" fontId="39" fillId="0" borderId="18" xfId="0" applyFont="1" applyFill="1" applyBorder="1" applyAlignment="1" applyProtection="1">
      <alignment horizontal="center" vertical="center"/>
      <protection hidden="1"/>
    </xf>
    <xf numFmtId="0" fontId="0" fillId="0" borderId="0" xfId="0" applyAlignment="1" applyProtection="1">
      <alignment vertical="center"/>
      <protection/>
    </xf>
    <xf numFmtId="0" fontId="23" fillId="0" borderId="0" xfId="0" applyFont="1" applyFill="1" applyAlignment="1" applyProtection="1">
      <alignment wrapText="1"/>
      <protection/>
    </xf>
    <xf numFmtId="0" fontId="0" fillId="0" borderId="0" xfId="0" applyFont="1" applyFill="1" applyAlignment="1" applyProtection="1">
      <alignment/>
      <protection/>
    </xf>
    <xf numFmtId="0" fontId="0" fillId="0" borderId="0" xfId="0" applyFont="1" applyFill="1" applyAlignment="1" applyProtection="1">
      <alignment horizontal="center" wrapText="1"/>
      <protection/>
    </xf>
    <xf numFmtId="0" fontId="0" fillId="0" borderId="0" xfId="0" applyFont="1" applyFill="1" applyAlignment="1" applyProtection="1">
      <alignment/>
      <protection hidden="1"/>
    </xf>
    <xf numFmtId="0" fontId="0" fillId="0" borderId="0" xfId="0" applyFont="1" applyFill="1" applyAlignment="1" applyProtection="1">
      <alignment wrapText="1"/>
      <protection hidden="1"/>
    </xf>
    <xf numFmtId="0" fontId="0" fillId="0" borderId="0" xfId="0" applyAlignment="1" applyProtection="1">
      <alignment horizontal="center"/>
      <protection/>
    </xf>
    <xf numFmtId="0" fontId="42" fillId="0" borderId="0" xfId="0" applyFont="1" applyFill="1" applyBorder="1" applyAlignment="1" applyProtection="1">
      <alignment horizontal="center" vertical="center"/>
      <protection/>
    </xf>
    <xf numFmtId="0" fontId="23" fillId="0" borderId="0"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49" fontId="25" fillId="34" borderId="19" xfId="0" applyNumberFormat="1" applyFont="1" applyFill="1" applyBorder="1" applyAlignment="1" applyProtection="1">
      <alignment horizontal="center" vertical="center"/>
      <protection/>
    </xf>
    <xf numFmtId="49" fontId="25" fillId="34" borderId="20" xfId="0" applyNumberFormat="1" applyFont="1" applyFill="1" applyBorder="1" applyAlignment="1" applyProtection="1">
      <alignment horizontal="center" vertical="center"/>
      <protection/>
    </xf>
    <xf numFmtId="0" fontId="25" fillId="36" borderId="19" xfId="0" applyFont="1" applyFill="1" applyBorder="1" applyAlignment="1" applyProtection="1">
      <alignment horizontal="center" vertical="center"/>
      <protection/>
    </xf>
    <xf numFmtId="0" fontId="25" fillId="36" borderId="21" xfId="0" applyFont="1" applyFill="1" applyBorder="1" applyAlignment="1" applyProtection="1">
      <alignment horizontal="center" vertical="center"/>
      <protection/>
    </xf>
    <xf numFmtId="0" fontId="16" fillId="36" borderId="12" xfId="0" applyFont="1" applyFill="1" applyBorder="1" applyAlignment="1" applyProtection="1">
      <alignment horizontal="center" vertical="center"/>
      <protection hidden="1"/>
    </xf>
    <xf numFmtId="0" fontId="16" fillId="36" borderId="22" xfId="0" applyFont="1" applyFill="1" applyBorder="1" applyAlignment="1" applyProtection="1">
      <alignment horizontal="center" vertical="center"/>
      <protection hidden="1"/>
    </xf>
    <xf numFmtId="0" fontId="0" fillId="0" borderId="0" xfId="0" applyFont="1" applyFill="1" applyBorder="1" applyAlignment="1" applyProtection="1">
      <alignment horizontal="center"/>
      <protection hidden="1"/>
    </xf>
    <xf numFmtId="0" fontId="16" fillId="36" borderId="23" xfId="0" applyFont="1" applyFill="1" applyBorder="1" applyAlignment="1" applyProtection="1">
      <alignment horizontal="center" vertical="center"/>
      <protection hidden="1"/>
    </xf>
    <xf numFmtId="0" fontId="0" fillId="0" borderId="0" xfId="0" applyAlignment="1" applyProtection="1">
      <alignment horizontal="center"/>
      <protection hidden="1"/>
    </xf>
    <xf numFmtId="0" fontId="44" fillId="0" borderId="0" xfId="0" applyFont="1" applyAlignment="1" applyProtection="1">
      <alignment horizontal="left"/>
      <protection/>
    </xf>
    <xf numFmtId="2" fontId="16" fillId="0" borderId="0" xfId="0" applyNumberFormat="1" applyFont="1" applyBorder="1" applyAlignment="1" applyProtection="1">
      <alignment horizontal="left" vertical="center" wrapText="1"/>
      <protection hidden="1"/>
    </xf>
    <xf numFmtId="1" fontId="46" fillId="0" borderId="0" xfId="0" applyNumberFormat="1" applyFont="1" applyBorder="1" applyAlignment="1" applyProtection="1">
      <alignment horizontal="center" vertical="center" wrapText="1"/>
      <protection hidden="1"/>
    </xf>
    <xf numFmtId="0" fontId="0" fillId="0" borderId="0" xfId="0" applyFont="1" applyAlignment="1" applyProtection="1">
      <alignment horizontal="right"/>
      <protection/>
    </xf>
    <xf numFmtId="0" fontId="0" fillId="0" borderId="0" xfId="0" applyBorder="1" applyAlignment="1" applyProtection="1">
      <alignment horizontal="center"/>
      <protection/>
    </xf>
    <xf numFmtId="0" fontId="36" fillId="0" borderId="24" xfId="0" applyFont="1" applyFill="1" applyBorder="1" applyAlignment="1" applyProtection="1">
      <alignment horizontal="center" vertical="center"/>
      <protection hidden="1"/>
    </xf>
    <xf numFmtId="0" fontId="25" fillId="0" borderId="0" xfId="0" applyFont="1" applyBorder="1" applyAlignment="1" applyProtection="1">
      <alignment vertical="center"/>
      <protection hidden="1"/>
    </xf>
    <xf numFmtId="0" fontId="32" fillId="33" borderId="0" xfId="0" applyFont="1" applyFill="1" applyBorder="1" applyAlignment="1" applyProtection="1">
      <alignment horizontal="center" vertical="center"/>
      <protection/>
    </xf>
    <xf numFmtId="0" fontId="26" fillId="33" borderId="0" xfId="0" applyFont="1" applyFill="1" applyBorder="1" applyAlignment="1" applyProtection="1">
      <alignment horizontal="center" vertical="center"/>
      <protection/>
    </xf>
    <xf numFmtId="0" fontId="16" fillId="33" borderId="25" xfId="0" applyFont="1" applyFill="1" applyBorder="1" applyAlignment="1" applyProtection="1">
      <alignment horizontal="center" vertical="center"/>
      <protection hidden="1"/>
    </xf>
    <xf numFmtId="0" fontId="16" fillId="36" borderId="26" xfId="0" applyFont="1" applyFill="1" applyBorder="1" applyAlignment="1" applyProtection="1">
      <alignment horizontal="center" vertical="center"/>
      <protection hidden="1"/>
    </xf>
    <xf numFmtId="0" fontId="36" fillId="0" borderId="0" xfId="0" applyFont="1" applyFill="1" applyBorder="1" applyAlignment="1" applyProtection="1">
      <alignment horizontal="center" vertical="center"/>
      <protection hidden="1"/>
    </xf>
    <xf numFmtId="0" fontId="0" fillId="0" borderId="0" xfId="0" applyAlignment="1" applyProtection="1">
      <alignment/>
      <protection/>
    </xf>
    <xf numFmtId="172" fontId="0" fillId="0" borderId="0" xfId="0" applyNumberFormat="1" applyAlignment="1" applyProtection="1">
      <alignment horizontal="right"/>
      <protection/>
    </xf>
    <xf numFmtId="172" fontId="0" fillId="0" borderId="0" xfId="0" applyNumberFormat="1" applyAlignment="1" applyProtection="1">
      <alignment horizontal="center"/>
      <protection/>
    </xf>
    <xf numFmtId="0" fontId="23" fillId="0" borderId="0" xfId="0" applyFont="1" applyFill="1" applyAlignment="1" applyProtection="1">
      <alignment horizontal="center"/>
      <protection/>
    </xf>
    <xf numFmtId="0" fontId="44" fillId="0" borderId="0" xfId="0" applyFont="1" applyAlignment="1" applyProtection="1">
      <alignment horizontal="right"/>
      <protection/>
    </xf>
    <xf numFmtId="0" fontId="44" fillId="0" borderId="0" xfId="0" applyFont="1" applyBorder="1" applyAlignment="1" applyProtection="1">
      <alignment horizontal="right"/>
      <protection hidden="1"/>
    </xf>
    <xf numFmtId="0" fontId="25" fillId="0" borderId="0" xfId="0" applyFont="1" applyAlignment="1" applyProtection="1">
      <alignment wrapText="1"/>
      <protection/>
    </xf>
    <xf numFmtId="0" fontId="0" fillId="0" borderId="0" xfId="0" applyAlignment="1">
      <alignment horizontal="left"/>
    </xf>
    <xf numFmtId="0" fontId="0" fillId="0" borderId="0" xfId="0" applyAlignment="1">
      <alignment horizontal="right"/>
    </xf>
    <xf numFmtId="0" fontId="44" fillId="37" borderId="0" xfId="0" applyFont="1" applyFill="1" applyBorder="1" applyAlignment="1">
      <alignment vertical="top" wrapText="1"/>
    </xf>
    <xf numFmtId="0" fontId="0" fillId="38" borderId="27" xfId="0" applyFill="1" applyBorder="1" applyAlignment="1">
      <alignment/>
    </xf>
    <xf numFmtId="0" fontId="0" fillId="38" borderId="28" xfId="0" applyFill="1" applyBorder="1" applyAlignment="1">
      <alignment/>
    </xf>
    <xf numFmtId="0" fontId="44" fillId="38" borderId="28" xfId="0" applyFont="1" applyFill="1" applyBorder="1" applyAlignment="1">
      <alignment/>
    </xf>
    <xf numFmtId="0" fontId="0" fillId="38" borderId="28" xfId="0" applyFont="1" applyFill="1" applyBorder="1" applyAlignment="1">
      <alignment/>
    </xf>
    <xf numFmtId="0" fontId="0" fillId="38" borderId="28" xfId="0" applyFont="1" applyFill="1" applyBorder="1" applyAlignment="1">
      <alignment horizontal="left"/>
    </xf>
    <xf numFmtId="0" fontId="0" fillId="38" borderId="29" xfId="0" applyFill="1" applyBorder="1" applyAlignment="1">
      <alignment/>
    </xf>
    <xf numFmtId="0" fontId="0" fillId="38" borderId="0" xfId="0" applyFill="1" applyBorder="1" applyAlignment="1">
      <alignment/>
    </xf>
    <xf numFmtId="0" fontId="44" fillId="38" borderId="0" xfId="0" applyFont="1" applyFill="1" applyBorder="1" applyAlignment="1">
      <alignment/>
    </xf>
    <xf numFmtId="0" fontId="0" fillId="38" borderId="0" xfId="0" applyFont="1" applyFill="1" applyBorder="1" applyAlignment="1">
      <alignment/>
    </xf>
    <xf numFmtId="0" fontId="0" fillId="38" borderId="0" xfId="0" applyFont="1" applyFill="1" applyBorder="1" applyAlignment="1">
      <alignment horizontal="left"/>
    </xf>
    <xf numFmtId="0" fontId="0" fillId="38" borderId="30" xfId="0" applyFill="1" applyBorder="1" applyAlignment="1">
      <alignment/>
    </xf>
    <xf numFmtId="0" fontId="0" fillId="0" borderId="0" xfId="0" applyFill="1" applyAlignment="1">
      <alignment/>
    </xf>
    <xf numFmtId="0" fontId="0" fillId="38" borderId="31" xfId="0" applyFill="1" applyBorder="1" applyAlignment="1">
      <alignment/>
    </xf>
    <xf numFmtId="0" fontId="0" fillId="38" borderId="10" xfId="0" applyFill="1" applyBorder="1" applyAlignment="1">
      <alignment/>
    </xf>
    <xf numFmtId="0" fontId="44" fillId="38" borderId="10" xfId="0" applyFont="1" applyFill="1" applyBorder="1" applyAlignment="1">
      <alignment/>
    </xf>
    <xf numFmtId="0" fontId="0" fillId="38" borderId="10" xfId="0" applyFont="1" applyFill="1" applyBorder="1" applyAlignment="1">
      <alignment/>
    </xf>
    <xf numFmtId="0" fontId="0" fillId="38" borderId="10" xfId="0" applyFont="1" applyFill="1" applyBorder="1" applyAlignment="1">
      <alignment horizontal="left"/>
    </xf>
    <xf numFmtId="0" fontId="0" fillId="38" borderId="32" xfId="0" applyFill="1" applyBorder="1" applyAlignment="1">
      <alignment/>
    </xf>
    <xf numFmtId="49" fontId="44" fillId="0" borderId="27" xfId="0" applyNumberFormat="1" applyFont="1" applyFill="1" applyBorder="1" applyAlignment="1">
      <alignment horizontal="center"/>
    </xf>
    <xf numFmtId="0" fontId="44" fillId="39" borderId="0" xfId="0" applyFont="1" applyFill="1" applyBorder="1" applyAlignment="1">
      <alignment/>
    </xf>
    <xf numFmtId="0" fontId="44" fillId="39" borderId="33" xfId="0" applyFont="1" applyFill="1" applyBorder="1" applyAlignment="1">
      <alignment/>
    </xf>
    <xf numFmtId="0" fontId="44" fillId="40" borderId="0" xfId="0" applyFont="1" applyFill="1" applyBorder="1" applyAlignment="1">
      <alignment/>
    </xf>
    <xf numFmtId="0" fontId="44" fillId="40" borderId="34" xfId="0" applyFont="1" applyFill="1" applyBorder="1" applyAlignment="1">
      <alignment/>
    </xf>
    <xf numFmtId="0" fontId="44" fillId="39" borderId="35" xfId="0" applyFont="1" applyFill="1" applyBorder="1" applyAlignment="1">
      <alignment/>
    </xf>
    <xf numFmtId="0" fontId="44" fillId="39" borderId="15" xfId="0" applyFont="1" applyFill="1" applyBorder="1" applyAlignment="1">
      <alignment/>
    </xf>
    <xf numFmtId="0" fontId="44" fillId="40" borderId="0" xfId="0" applyFont="1" applyFill="1" applyBorder="1" applyAlignment="1">
      <alignment horizontal="left"/>
    </xf>
    <xf numFmtId="0" fontId="44" fillId="40" borderId="30" xfId="0" applyFont="1" applyFill="1" applyBorder="1" applyAlignment="1">
      <alignment/>
    </xf>
    <xf numFmtId="49" fontId="44" fillId="0" borderId="27" xfId="0" applyNumberFormat="1" applyFont="1" applyBorder="1" applyAlignment="1">
      <alignment horizontal="center"/>
    </xf>
    <xf numFmtId="0" fontId="44" fillId="40" borderId="35" xfId="0" applyFont="1" applyFill="1" applyBorder="1" applyAlignment="1">
      <alignment/>
    </xf>
    <xf numFmtId="0" fontId="44" fillId="40" borderId="35" xfId="0" applyFont="1" applyFill="1" applyBorder="1" applyAlignment="1">
      <alignment wrapText="1"/>
    </xf>
    <xf numFmtId="49" fontId="44" fillId="0" borderId="27" xfId="0" applyNumberFormat="1" applyFont="1" applyBorder="1" applyAlignment="1">
      <alignment horizontal="center" vertical="center"/>
    </xf>
    <xf numFmtId="0" fontId="0" fillId="0" borderId="31" xfId="0" applyBorder="1" applyAlignment="1">
      <alignment/>
    </xf>
    <xf numFmtId="0" fontId="44" fillId="39" borderId="36" xfId="0" applyFont="1" applyFill="1" applyBorder="1" applyAlignment="1">
      <alignment/>
    </xf>
    <xf numFmtId="0" fontId="44" fillId="39" borderId="10" xfId="0" applyFont="1" applyFill="1" applyBorder="1" applyAlignment="1">
      <alignment/>
    </xf>
    <xf numFmtId="0" fontId="44" fillId="39" borderId="11" xfId="0" applyFont="1" applyFill="1" applyBorder="1" applyAlignment="1">
      <alignment/>
    </xf>
    <xf numFmtId="0" fontId="44" fillId="40" borderId="36" xfId="0" applyFont="1" applyFill="1" applyBorder="1" applyAlignment="1">
      <alignment/>
    </xf>
    <xf numFmtId="0" fontId="44" fillId="40" borderId="10" xfId="0" applyFont="1" applyFill="1" applyBorder="1" applyAlignment="1">
      <alignment/>
    </xf>
    <xf numFmtId="0" fontId="44" fillId="40" borderId="10" xfId="0" applyFont="1" applyFill="1" applyBorder="1" applyAlignment="1">
      <alignment horizontal="left"/>
    </xf>
    <xf numFmtId="0" fontId="44" fillId="40" borderId="32" xfId="0" applyFont="1" applyFill="1" applyBorder="1" applyAlignment="1">
      <alignment/>
    </xf>
    <xf numFmtId="0" fontId="0" fillId="0" borderId="0" xfId="0" applyAlignment="1">
      <alignment vertical="center"/>
    </xf>
    <xf numFmtId="0" fontId="27" fillId="0" borderId="0" xfId="0" applyFont="1" applyAlignment="1">
      <alignment horizontal="center" vertical="center"/>
    </xf>
    <xf numFmtId="0" fontId="0" fillId="0" borderId="0" xfId="0" applyAlignment="1">
      <alignment horizontal="center" vertical="center"/>
    </xf>
    <xf numFmtId="0" fontId="23" fillId="0" borderId="10" xfId="0" applyFont="1" applyBorder="1" applyAlignment="1">
      <alignment horizontal="right"/>
    </xf>
    <xf numFmtId="0" fontId="51" fillId="0" borderId="0" xfId="0" applyFont="1" applyAlignment="1">
      <alignment horizontal="center" vertical="center"/>
    </xf>
    <xf numFmtId="0" fontId="52" fillId="0" borderId="0" xfId="0" applyFont="1" applyAlignment="1">
      <alignment horizontal="left" vertical="center"/>
    </xf>
    <xf numFmtId="0" fontId="53" fillId="0" borderId="0" xfId="0" applyFont="1" applyAlignment="1">
      <alignment horizontal="center" vertical="center"/>
    </xf>
    <xf numFmtId="0" fontId="54" fillId="0" borderId="0" xfId="0" applyFont="1" applyAlignment="1">
      <alignment horizontal="left" vertical="center"/>
    </xf>
    <xf numFmtId="0" fontId="51" fillId="0" borderId="0" xfId="0" applyFont="1" applyAlignment="1">
      <alignment horizontal="left" vertical="center"/>
    </xf>
    <xf numFmtId="0" fontId="0" fillId="0" borderId="37" xfId="0" applyBorder="1" applyAlignment="1">
      <alignment horizontal="center" vertical="center"/>
    </xf>
    <xf numFmtId="0" fontId="44" fillId="0" borderId="38" xfId="0" applyFont="1" applyBorder="1" applyAlignment="1">
      <alignment horizontal="center" vertical="center"/>
    </xf>
    <xf numFmtId="0" fontId="44" fillId="0" borderId="39" xfId="0" applyFont="1" applyBorder="1" applyAlignment="1">
      <alignment horizontal="center" vertical="center"/>
    </xf>
    <xf numFmtId="0" fontId="0" fillId="0" borderId="40" xfId="0" applyBorder="1" applyAlignment="1">
      <alignment horizontal="center" vertical="center"/>
    </xf>
    <xf numFmtId="0" fontId="44" fillId="0" borderId="19" xfId="0" applyFont="1" applyBorder="1" applyAlignment="1" applyProtection="1">
      <alignment horizontal="center" vertical="center"/>
      <protection hidden="1"/>
    </xf>
    <xf numFmtId="0" fontId="55" fillId="0" borderId="41" xfId="0" applyFont="1" applyBorder="1" applyAlignment="1">
      <alignment horizontal="left" vertical="center"/>
    </xf>
    <xf numFmtId="2" fontId="55" fillId="0" borderId="42" xfId="0" applyNumberFormat="1" applyFont="1" applyBorder="1" applyAlignment="1" applyProtection="1">
      <alignment horizontal="center" vertical="center"/>
      <protection hidden="1"/>
    </xf>
    <xf numFmtId="0" fontId="41" fillId="0" borderId="0" xfId="0" applyFont="1" applyAlignment="1">
      <alignment vertical="center"/>
    </xf>
    <xf numFmtId="0" fontId="44" fillId="34" borderId="41" xfId="0" applyFont="1" applyFill="1" applyBorder="1" applyAlignment="1">
      <alignment horizontal="left" vertical="center"/>
    </xf>
    <xf numFmtId="0" fontId="44" fillId="34" borderId="42" xfId="0" applyFont="1" applyFill="1" applyBorder="1" applyAlignment="1" applyProtection="1">
      <alignment horizontal="center" vertical="center"/>
      <protection locked="0"/>
    </xf>
    <xf numFmtId="0" fontId="44" fillId="34" borderId="43" xfId="0" applyFont="1" applyFill="1" applyBorder="1" applyAlignment="1" applyProtection="1">
      <alignment horizontal="center" vertical="center"/>
      <protection locked="0"/>
    </xf>
    <xf numFmtId="0" fontId="17" fillId="0" borderId="41" xfId="0" applyFont="1" applyBorder="1" applyAlignment="1">
      <alignment horizontal="left" vertical="center"/>
    </xf>
    <xf numFmtId="0" fontId="17" fillId="0" borderId="42" xfId="0" applyFont="1" applyBorder="1" applyAlignment="1" applyProtection="1">
      <alignment horizontal="center" vertical="center"/>
      <protection hidden="1"/>
    </xf>
    <xf numFmtId="0" fontId="44" fillId="34" borderId="44" xfId="0" applyFont="1" applyFill="1" applyBorder="1" applyAlignment="1">
      <alignment horizontal="left" vertical="center"/>
    </xf>
    <xf numFmtId="0" fontId="44" fillId="34" borderId="45" xfId="0" applyFont="1" applyFill="1" applyBorder="1" applyAlignment="1" applyProtection="1">
      <alignment horizontal="center" vertical="center"/>
      <protection locked="0"/>
    </xf>
    <xf numFmtId="0" fontId="44" fillId="34" borderId="20" xfId="0" applyFont="1" applyFill="1" applyBorder="1" applyAlignment="1" applyProtection="1">
      <alignment horizontal="center" vertical="center"/>
      <protection locked="0"/>
    </xf>
    <xf numFmtId="0" fontId="44" fillId="41" borderId="46" xfId="0" applyFont="1" applyFill="1" applyBorder="1" applyAlignment="1">
      <alignment horizontal="left" vertical="center"/>
    </xf>
    <xf numFmtId="1" fontId="44" fillId="41" borderId="47" xfId="0" applyNumberFormat="1" applyFont="1" applyFill="1" applyBorder="1" applyAlignment="1" applyProtection="1">
      <alignment horizontal="center" vertical="center"/>
      <protection hidden="1"/>
    </xf>
    <xf numFmtId="0" fontId="44" fillId="0" borderId="48" xfId="0" applyFont="1" applyBorder="1" applyAlignment="1">
      <alignment vertical="center"/>
    </xf>
    <xf numFmtId="0" fontId="0" fillId="0" borderId="49" xfId="0" applyBorder="1" applyAlignment="1">
      <alignment vertical="center"/>
    </xf>
    <xf numFmtId="0" fontId="0" fillId="0" borderId="10" xfId="0" applyBorder="1" applyAlignment="1">
      <alignment vertical="center"/>
    </xf>
    <xf numFmtId="0" fontId="57" fillId="0" borderId="0" xfId="0" applyFont="1" applyBorder="1" applyAlignment="1">
      <alignment horizontal="center" wrapText="1" shrinkToFit="1"/>
    </xf>
    <xf numFmtId="0" fontId="44" fillId="0" borderId="50" xfId="0" applyFont="1" applyBorder="1" applyAlignment="1">
      <alignment vertical="center"/>
    </xf>
    <xf numFmtId="0" fontId="44" fillId="0" borderId="51" xfId="0" applyFont="1" applyBorder="1" applyAlignment="1">
      <alignment vertical="center"/>
    </xf>
    <xf numFmtId="1" fontId="58" fillId="0" borderId="34" xfId="0" applyNumberFormat="1" applyFont="1" applyBorder="1" applyAlignment="1" applyProtection="1">
      <alignment horizontal="center" vertical="center"/>
      <protection hidden="1"/>
    </xf>
    <xf numFmtId="0" fontId="44" fillId="41" borderId="52" xfId="0" applyFont="1" applyFill="1" applyBorder="1" applyAlignment="1">
      <alignment vertical="center"/>
    </xf>
    <xf numFmtId="0" fontId="44" fillId="41" borderId="10" xfId="0" applyFont="1" applyFill="1" applyBorder="1" applyAlignment="1">
      <alignment horizontal="center" vertical="center"/>
    </xf>
    <xf numFmtId="1" fontId="0" fillId="0" borderId="0" xfId="0" applyNumberFormat="1" applyAlignment="1">
      <alignment horizontal="center" vertical="center"/>
    </xf>
    <xf numFmtId="0" fontId="29" fillId="42" borderId="48" xfId="0" applyFont="1" applyFill="1" applyBorder="1" applyAlignment="1">
      <alignment vertical="center"/>
    </xf>
    <xf numFmtId="0" fontId="29" fillId="42" borderId="49" xfId="0" applyFont="1" applyFill="1" applyBorder="1" applyAlignment="1">
      <alignment horizontal="center" vertical="center"/>
    </xf>
    <xf numFmtId="0" fontId="13" fillId="0" borderId="0" xfId="0" applyFont="1" applyAlignment="1">
      <alignment vertical="center"/>
    </xf>
    <xf numFmtId="0" fontId="58" fillId="0" borderId="0" xfId="0" applyFont="1" applyAlignment="1">
      <alignment vertical="center"/>
    </xf>
    <xf numFmtId="0" fontId="60" fillId="0" borderId="0" xfId="0" applyFont="1" applyAlignment="1">
      <alignment vertical="center"/>
    </xf>
    <xf numFmtId="0" fontId="23" fillId="0" borderId="0" xfId="0" applyFont="1" applyAlignment="1">
      <alignment/>
    </xf>
    <xf numFmtId="0" fontId="0" fillId="0" borderId="34" xfId="0" applyBorder="1" applyAlignment="1">
      <alignment/>
    </xf>
    <xf numFmtId="0" fontId="25" fillId="0" borderId="26" xfId="0" applyFont="1" applyBorder="1" applyAlignment="1">
      <alignment horizontal="center"/>
    </xf>
    <xf numFmtId="0" fontId="62" fillId="43" borderId="53" xfId="0" applyFont="1" applyFill="1" applyBorder="1" applyAlignment="1">
      <alignment horizontal="center"/>
    </xf>
    <xf numFmtId="0" fontId="62" fillId="43" borderId="54" xfId="0" applyFont="1" applyFill="1" applyBorder="1" applyAlignment="1">
      <alignment horizontal="center"/>
    </xf>
    <xf numFmtId="0" fontId="62" fillId="43" borderId="55" xfId="0" applyFont="1" applyFill="1" applyBorder="1" applyAlignment="1">
      <alignment horizontal="center"/>
    </xf>
    <xf numFmtId="0" fontId="62" fillId="43" borderId="56" xfId="0" applyFont="1" applyFill="1" applyBorder="1" applyAlignment="1">
      <alignment horizontal="center"/>
    </xf>
    <xf numFmtId="0" fontId="62" fillId="43" borderId="57" xfId="0" applyFont="1" applyFill="1" applyBorder="1" applyAlignment="1">
      <alignment horizontal="center"/>
    </xf>
    <xf numFmtId="0" fontId="0" fillId="0" borderId="52" xfId="0" applyBorder="1" applyAlignment="1">
      <alignment/>
    </xf>
    <xf numFmtId="0" fontId="25" fillId="0" borderId="58" xfId="0" applyFont="1" applyBorder="1" applyAlignment="1">
      <alignment horizontal="center"/>
    </xf>
    <xf numFmtId="0" fontId="62" fillId="43" borderId="18" xfId="0" applyFont="1" applyFill="1" applyBorder="1" applyAlignment="1">
      <alignment horizontal="center"/>
    </xf>
    <xf numFmtId="0" fontId="62" fillId="43" borderId="17" xfId="0" applyFont="1" applyFill="1" applyBorder="1" applyAlignment="1">
      <alignment horizontal="center"/>
    </xf>
    <xf numFmtId="0" fontId="62" fillId="43" borderId="59" xfId="0" applyFont="1" applyFill="1" applyBorder="1" applyAlignment="1">
      <alignment horizontal="center"/>
    </xf>
    <xf numFmtId="0" fontId="63" fillId="44" borderId="60" xfId="0" applyFont="1" applyFill="1" applyBorder="1" applyAlignment="1">
      <alignment horizontal="center" vertical="center" textRotation="90"/>
    </xf>
    <xf numFmtId="0" fontId="62" fillId="44" borderId="56" xfId="0" applyFont="1" applyFill="1" applyBorder="1" applyAlignment="1">
      <alignment horizontal="left"/>
    </xf>
    <xf numFmtId="0" fontId="62" fillId="44" borderId="61" xfId="0" applyFont="1" applyFill="1" applyBorder="1" applyAlignment="1">
      <alignment horizontal="center"/>
    </xf>
    <xf numFmtId="0" fontId="0" fillId="45" borderId="15" xfId="0" applyFill="1" applyBorder="1" applyAlignment="1" applyProtection="1">
      <alignment horizontal="center"/>
      <protection hidden="1"/>
    </xf>
    <xf numFmtId="0" fontId="0" fillId="45" borderId="0" xfId="0" applyFill="1" applyBorder="1" applyAlignment="1" applyProtection="1">
      <alignment horizontal="center"/>
      <protection hidden="1"/>
    </xf>
    <xf numFmtId="0" fontId="0" fillId="45" borderId="33" xfId="0" applyFill="1" applyBorder="1" applyAlignment="1" applyProtection="1">
      <alignment horizontal="center"/>
      <protection hidden="1"/>
    </xf>
    <xf numFmtId="0" fontId="0" fillId="45" borderId="34" xfId="0" applyFill="1" applyBorder="1" applyAlignment="1" applyProtection="1">
      <alignment horizontal="center"/>
      <protection hidden="1"/>
    </xf>
    <xf numFmtId="0" fontId="63" fillId="44" borderId="62" xfId="0" applyFont="1" applyFill="1" applyBorder="1" applyAlignment="1">
      <alignment horizontal="center" vertical="center" textRotation="90"/>
    </xf>
    <xf numFmtId="0" fontId="62" fillId="44" borderId="63" xfId="0" applyFont="1" applyFill="1" applyBorder="1" applyAlignment="1">
      <alignment horizontal="left"/>
    </xf>
    <xf numFmtId="0" fontId="62" fillId="44" borderId="64" xfId="0" applyFont="1" applyFill="1" applyBorder="1" applyAlignment="1">
      <alignment horizontal="center"/>
    </xf>
    <xf numFmtId="0" fontId="0" fillId="39" borderId="15" xfId="0" applyFill="1" applyBorder="1" applyAlignment="1" applyProtection="1">
      <alignment horizontal="center"/>
      <protection hidden="1"/>
    </xf>
    <xf numFmtId="0" fontId="0" fillId="39" borderId="0" xfId="0" applyFill="1" applyBorder="1" applyAlignment="1" applyProtection="1">
      <alignment horizontal="center"/>
      <protection hidden="1"/>
    </xf>
    <xf numFmtId="0" fontId="63" fillId="44" borderId="24" xfId="0" applyFont="1" applyFill="1" applyBorder="1" applyAlignment="1">
      <alignment horizontal="center" vertical="center" textRotation="90"/>
    </xf>
    <xf numFmtId="0" fontId="62" fillId="44" borderId="15" xfId="0" applyFont="1" applyFill="1" applyBorder="1" applyAlignment="1">
      <alignment horizontal="left"/>
    </xf>
    <xf numFmtId="0" fontId="63" fillId="44" borderId="65" xfId="0" applyFont="1" applyFill="1" applyBorder="1" applyAlignment="1">
      <alignment horizontal="center" vertical="center" textRotation="90"/>
    </xf>
    <xf numFmtId="0" fontId="62" fillId="44" borderId="66" xfId="0" applyFont="1" applyFill="1" applyBorder="1" applyAlignment="1">
      <alignment horizontal="left"/>
    </xf>
    <xf numFmtId="0" fontId="0" fillId="45" borderId="30" xfId="0" applyFill="1" applyBorder="1" applyAlignment="1" applyProtection="1">
      <alignment horizontal="center"/>
      <protection hidden="1"/>
    </xf>
    <xf numFmtId="0" fontId="0" fillId="39" borderId="30" xfId="0" applyFill="1" applyBorder="1" applyAlignment="1" applyProtection="1">
      <alignment horizontal="center"/>
      <protection hidden="1"/>
    </xf>
    <xf numFmtId="0" fontId="63" fillId="44" borderId="52" xfId="0" applyFont="1" applyFill="1" applyBorder="1" applyAlignment="1">
      <alignment horizontal="center" vertical="center" textRotation="90"/>
    </xf>
    <xf numFmtId="0" fontId="62" fillId="44" borderId="11" xfId="0" applyFont="1" applyFill="1" applyBorder="1" applyAlignment="1">
      <alignment horizontal="left"/>
    </xf>
    <xf numFmtId="0" fontId="62" fillId="44" borderId="67" xfId="0" applyFont="1" applyFill="1" applyBorder="1" applyAlignment="1">
      <alignment horizontal="center"/>
    </xf>
    <xf numFmtId="0" fontId="0" fillId="39" borderId="11" xfId="0" applyFill="1" applyBorder="1" applyAlignment="1" applyProtection="1">
      <alignment horizontal="center"/>
      <protection hidden="1"/>
    </xf>
    <xf numFmtId="0" fontId="0" fillId="39" borderId="10" xfId="0" applyFill="1" applyBorder="1" applyAlignment="1" applyProtection="1">
      <alignment horizontal="center"/>
      <protection hidden="1"/>
    </xf>
    <xf numFmtId="0" fontId="0" fillId="39" borderId="32" xfId="0" applyFill="1" applyBorder="1" applyAlignment="1" applyProtection="1">
      <alignment horizontal="center"/>
      <protection hidden="1"/>
    </xf>
    <xf numFmtId="0" fontId="0" fillId="36" borderId="68" xfId="0" applyFill="1" applyBorder="1" applyAlignment="1" applyProtection="1">
      <alignment horizontal="center"/>
      <protection locked="0"/>
    </xf>
    <xf numFmtId="0" fontId="0" fillId="0" borderId="68" xfId="0" applyBorder="1" applyAlignment="1" applyProtection="1">
      <alignment horizontal="center"/>
      <protection hidden="1"/>
    </xf>
    <xf numFmtId="0" fontId="0" fillId="0" borderId="0" xfId="0" applyFont="1" applyBorder="1" applyAlignment="1">
      <alignment/>
    </xf>
    <xf numFmtId="0" fontId="0" fillId="41" borderId="68" xfId="0" applyFill="1" applyBorder="1" applyAlignment="1" applyProtection="1">
      <alignment horizontal="center"/>
      <protection hidden="1"/>
    </xf>
    <xf numFmtId="0" fontId="18" fillId="0" borderId="0" xfId="0" applyFont="1" applyAlignment="1" applyProtection="1">
      <alignment horizontal="center"/>
      <protection hidden="1"/>
    </xf>
    <xf numFmtId="172" fontId="29" fillId="34" borderId="69" xfId="0" applyNumberFormat="1" applyFont="1" applyFill="1" applyBorder="1" applyAlignment="1">
      <alignment horizontal="center" vertical="center"/>
    </xf>
    <xf numFmtId="0" fontId="44" fillId="34" borderId="34" xfId="0" applyFont="1" applyFill="1" applyBorder="1" applyAlignment="1">
      <alignment horizontal="center" vertical="center"/>
    </xf>
    <xf numFmtId="0" fontId="0" fillId="39" borderId="65" xfId="0" applyFill="1" applyBorder="1" applyAlignment="1">
      <alignment vertical="center"/>
    </xf>
    <xf numFmtId="0" fontId="0" fillId="39" borderId="55" xfId="0" applyFill="1" applyBorder="1" applyAlignment="1">
      <alignment horizontal="center" vertical="center"/>
    </xf>
    <xf numFmtId="0" fontId="0" fillId="39" borderId="66" xfId="0" applyFill="1" applyBorder="1" applyAlignment="1">
      <alignment horizontal="left" vertical="center"/>
    </xf>
    <xf numFmtId="172" fontId="61" fillId="38" borderId="70" xfId="0" applyNumberFormat="1" applyFont="1" applyFill="1" applyBorder="1" applyAlignment="1" applyProtection="1">
      <alignment horizontal="center" vertical="center"/>
      <protection hidden="1"/>
    </xf>
    <xf numFmtId="0" fontId="0" fillId="0" borderId="60" xfId="0" applyBorder="1" applyAlignment="1">
      <alignment/>
    </xf>
    <xf numFmtId="0" fontId="0" fillId="0" borderId="55" xfId="0" applyBorder="1" applyAlignment="1">
      <alignment/>
    </xf>
    <xf numFmtId="0" fontId="0" fillId="0" borderId="57" xfId="0" applyBorder="1" applyAlignment="1">
      <alignment/>
    </xf>
    <xf numFmtId="0" fontId="0" fillId="39" borderId="71" xfId="0" applyFill="1" applyBorder="1" applyAlignment="1">
      <alignment vertical="center"/>
    </xf>
    <xf numFmtId="0" fontId="0" fillId="39" borderId="72" xfId="0" applyFont="1" applyFill="1" applyBorder="1" applyAlignment="1">
      <alignment horizontal="center" vertical="center"/>
    </xf>
    <xf numFmtId="0" fontId="0" fillId="39" borderId="73" xfId="0" applyFill="1" applyBorder="1" applyAlignment="1" applyProtection="1">
      <alignment horizontal="left" vertical="center"/>
      <protection hidden="1"/>
    </xf>
    <xf numFmtId="172" fontId="61" fillId="38" borderId="74" xfId="0" applyNumberFormat="1" applyFont="1" applyFill="1" applyBorder="1" applyAlignment="1" applyProtection="1">
      <alignment horizontal="center" vertical="center"/>
      <protection hidden="1"/>
    </xf>
    <xf numFmtId="0" fontId="0" fillId="39" borderId="28" xfId="0" applyFont="1" applyFill="1" applyBorder="1" applyAlignment="1">
      <alignment horizontal="center" vertical="center"/>
    </xf>
    <xf numFmtId="0" fontId="0" fillId="39" borderId="62" xfId="0" applyFill="1" applyBorder="1" applyAlignment="1">
      <alignment vertical="center"/>
    </xf>
    <xf numFmtId="0" fontId="0" fillId="39" borderId="63" xfId="0" applyFill="1" applyBorder="1" applyAlignment="1" applyProtection="1">
      <alignment horizontal="left" vertical="center"/>
      <protection hidden="1"/>
    </xf>
    <xf numFmtId="0" fontId="0" fillId="39" borderId="75" xfId="0" applyFill="1" applyBorder="1" applyAlignment="1">
      <alignment vertical="center"/>
    </xf>
    <xf numFmtId="0" fontId="0" fillId="39" borderId="17" xfId="0" applyFont="1" applyFill="1" applyBorder="1" applyAlignment="1">
      <alignment horizontal="center" vertical="center"/>
    </xf>
    <xf numFmtId="0" fontId="0" fillId="39" borderId="18" xfId="0" applyFill="1" applyBorder="1" applyAlignment="1" applyProtection="1">
      <alignment horizontal="left" vertical="center"/>
      <protection hidden="1"/>
    </xf>
    <xf numFmtId="172" fontId="61" fillId="38" borderId="58" xfId="0" applyNumberFormat="1" applyFont="1" applyFill="1" applyBorder="1" applyAlignment="1" applyProtection="1">
      <alignment horizontal="center" vertical="center"/>
      <protection hidden="1"/>
    </xf>
    <xf numFmtId="0" fontId="0" fillId="39" borderId="18" xfId="0" applyFill="1" applyBorder="1" applyAlignment="1">
      <alignment horizontal="lef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172" fontId="66" fillId="0" borderId="0" xfId="0" applyNumberFormat="1" applyFont="1" applyFill="1" applyBorder="1" applyAlignment="1">
      <alignment horizontal="center" vertical="center"/>
    </xf>
    <xf numFmtId="172" fontId="29" fillId="0" borderId="0" xfId="0" applyNumberFormat="1" applyFont="1" applyFill="1" applyBorder="1" applyAlignment="1">
      <alignment horizontal="center" vertical="center"/>
    </xf>
    <xf numFmtId="0" fontId="0" fillId="46" borderId="0" xfId="0" applyFill="1" applyAlignment="1">
      <alignment/>
    </xf>
    <xf numFmtId="0" fontId="0" fillId="0" borderId="0" xfId="0" applyAlignment="1" applyProtection="1">
      <alignment horizontal="center" wrapText="1"/>
      <protection/>
    </xf>
    <xf numFmtId="0" fontId="0" fillId="47" borderId="0" xfId="0" applyFill="1" applyAlignment="1" applyProtection="1">
      <alignment horizontal="center"/>
      <protection/>
    </xf>
    <xf numFmtId="0" fontId="0" fillId="0" borderId="0" xfId="0" applyFill="1" applyAlignment="1" applyProtection="1">
      <alignment horizontal="center"/>
      <protection/>
    </xf>
    <xf numFmtId="0" fontId="0" fillId="0" borderId="0" xfId="0" applyNumberFormat="1" applyAlignment="1">
      <alignment/>
    </xf>
    <xf numFmtId="1" fontId="33" fillId="33" borderId="15" xfId="0" applyNumberFormat="1" applyFont="1" applyFill="1" applyBorder="1" applyAlignment="1" applyProtection="1">
      <alignment horizontal="center" vertical="center"/>
      <protection/>
    </xf>
    <xf numFmtId="1" fontId="33" fillId="33" borderId="61" xfId="0" applyNumberFormat="1" applyFont="1" applyFill="1" applyBorder="1" applyAlignment="1" applyProtection="1">
      <alignment horizontal="center" vertical="center"/>
      <protection/>
    </xf>
    <xf numFmtId="1" fontId="33" fillId="36" borderId="35" xfId="0" applyNumberFormat="1" applyFont="1" applyFill="1" applyBorder="1" applyAlignment="1" applyProtection="1">
      <alignment horizontal="center" vertical="center"/>
      <protection/>
    </xf>
    <xf numFmtId="0" fontId="23" fillId="0" borderId="0" xfId="0" applyFont="1" applyBorder="1" applyAlignment="1">
      <alignment horizontal="right" vertical="center" wrapText="1"/>
    </xf>
    <xf numFmtId="0" fontId="0" fillId="0" borderId="0" xfId="0" applyAlignment="1" applyProtection="1">
      <alignment wrapText="1"/>
      <protection/>
    </xf>
    <xf numFmtId="0" fontId="0" fillId="0" borderId="0" xfId="0" applyFill="1" applyBorder="1" applyAlignment="1" applyProtection="1">
      <alignment horizontal="center"/>
      <protection/>
    </xf>
    <xf numFmtId="0" fontId="16" fillId="33" borderId="76" xfId="0" applyFont="1" applyFill="1" applyBorder="1" applyAlignment="1" applyProtection="1">
      <alignment horizontal="center" vertical="center"/>
      <protection hidden="1"/>
    </xf>
    <xf numFmtId="0" fontId="16" fillId="33" borderId="77" xfId="0" applyFont="1" applyFill="1" applyBorder="1" applyAlignment="1" applyProtection="1">
      <alignment horizontal="center" vertical="center"/>
      <protection hidden="1"/>
    </xf>
    <xf numFmtId="49" fontId="25" fillId="48" borderId="78" xfId="0" applyNumberFormat="1" applyFont="1" applyFill="1" applyBorder="1" applyAlignment="1" applyProtection="1">
      <alignment horizontal="center" vertical="center"/>
      <protection/>
    </xf>
    <xf numFmtId="0" fontId="26" fillId="48" borderId="79" xfId="0" applyFont="1" applyFill="1" applyBorder="1" applyAlignment="1" applyProtection="1">
      <alignment horizontal="center" vertical="center"/>
      <protection hidden="1"/>
    </xf>
    <xf numFmtId="0" fontId="26" fillId="48" borderId="13" xfId="0" applyFont="1" applyFill="1" applyBorder="1" applyAlignment="1" applyProtection="1">
      <alignment horizontal="center" vertical="center"/>
      <protection hidden="1"/>
    </xf>
    <xf numFmtId="0" fontId="26" fillId="48" borderId="80" xfId="0" applyFont="1" applyFill="1" applyBorder="1" applyAlignment="1" applyProtection="1">
      <alignment horizontal="center" vertical="center"/>
      <protection hidden="1"/>
    </xf>
    <xf numFmtId="0" fontId="26" fillId="48" borderId="81" xfId="0" applyFont="1" applyFill="1" applyBorder="1" applyAlignment="1" applyProtection="1">
      <alignment horizontal="center" vertical="center"/>
      <protection hidden="1"/>
    </xf>
    <xf numFmtId="0" fontId="26" fillId="48" borderId="82" xfId="0" applyFont="1" applyFill="1" applyBorder="1" applyAlignment="1" applyProtection="1">
      <alignment horizontal="center" vertical="center"/>
      <protection hidden="1"/>
    </xf>
    <xf numFmtId="0" fontId="26" fillId="48" borderId="83" xfId="0" applyFont="1" applyFill="1" applyBorder="1" applyAlignment="1" applyProtection="1">
      <alignment horizontal="center" vertical="center"/>
      <protection hidden="1"/>
    </xf>
    <xf numFmtId="0" fontId="26" fillId="48" borderId="84" xfId="0" applyFont="1" applyFill="1" applyBorder="1" applyAlignment="1" applyProtection="1">
      <alignment horizontal="center" vertical="center"/>
      <protection hidden="1"/>
    </xf>
    <xf numFmtId="0" fontId="26" fillId="48" borderId="85" xfId="0" applyFont="1" applyFill="1" applyBorder="1" applyAlignment="1" applyProtection="1">
      <alignment horizontal="center" vertical="center"/>
      <protection hidden="1"/>
    </xf>
    <xf numFmtId="0" fontId="16" fillId="36" borderId="81" xfId="0" applyFont="1" applyFill="1" applyBorder="1" applyAlignment="1" applyProtection="1">
      <alignment horizontal="center" vertical="center"/>
      <protection hidden="1"/>
    </xf>
    <xf numFmtId="0" fontId="16" fillId="36" borderId="83" xfId="0" applyFont="1" applyFill="1" applyBorder="1" applyAlignment="1" applyProtection="1">
      <alignment horizontal="center" vertical="center"/>
      <protection hidden="1"/>
    </xf>
    <xf numFmtId="0" fontId="0" fillId="0" borderId="0" xfId="0" applyBorder="1" applyAlignment="1" applyProtection="1">
      <alignment wrapText="1"/>
      <protection/>
    </xf>
    <xf numFmtId="0" fontId="0" fillId="49" borderId="0" xfId="0" applyFill="1" applyAlignment="1">
      <alignment/>
    </xf>
    <xf numFmtId="0" fontId="16" fillId="50" borderId="12" xfId="0" applyFont="1" applyFill="1" applyBorder="1" applyAlignment="1" applyProtection="1">
      <alignment horizontal="center" vertical="center"/>
      <protection hidden="1"/>
    </xf>
    <xf numFmtId="0" fontId="0" fillId="0" borderId="0" xfId="0" applyFill="1" applyAlignment="1" applyProtection="1">
      <alignment horizontal="center" wrapText="1"/>
      <protection/>
    </xf>
    <xf numFmtId="1" fontId="0" fillId="0" borderId="0" xfId="0" applyNumberFormat="1" applyFill="1" applyBorder="1" applyAlignment="1" applyProtection="1">
      <alignment horizontal="center"/>
      <protection/>
    </xf>
    <xf numFmtId="0" fontId="0" fillId="47" borderId="86" xfId="0" applyFill="1" applyBorder="1" applyAlignment="1" applyProtection="1">
      <alignment horizontal="center"/>
      <protection/>
    </xf>
    <xf numFmtId="0" fontId="0" fillId="0" borderId="86" xfId="0" applyFill="1" applyBorder="1" applyAlignment="1" applyProtection="1">
      <alignment horizontal="center"/>
      <protection/>
    </xf>
    <xf numFmtId="1" fontId="0" fillId="0" borderId="86" xfId="0" applyNumberFormat="1" applyFill="1" applyBorder="1" applyAlignment="1" applyProtection="1">
      <alignment horizontal="center"/>
      <protection/>
    </xf>
    <xf numFmtId="0" fontId="0" fillId="0" borderId="86" xfId="0" applyBorder="1" applyAlignment="1" applyProtection="1">
      <alignment horizontal="center"/>
      <protection/>
    </xf>
    <xf numFmtId="1" fontId="0" fillId="0" borderId="87" xfId="0" applyNumberFormat="1" applyFill="1" applyBorder="1" applyAlignment="1" applyProtection="1">
      <alignment horizontal="center"/>
      <protection/>
    </xf>
    <xf numFmtId="0" fontId="0" fillId="0" borderId="0" xfId="0" applyFill="1" applyAlignment="1" applyProtection="1">
      <alignment wrapText="1"/>
      <protection/>
    </xf>
    <xf numFmtId="0" fontId="16" fillId="36" borderId="85" xfId="0" applyFont="1" applyFill="1" applyBorder="1" applyAlignment="1" applyProtection="1">
      <alignment horizontal="center" vertical="center"/>
      <protection hidden="1"/>
    </xf>
    <xf numFmtId="0" fontId="16" fillId="34" borderId="16" xfId="0" applyFont="1" applyFill="1" applyBorder="1" applyAlignment="1" applyProtection="1">
      <alignment horizontal="center" vertical="center"/>
      <protection hidden="1"/>
    </xf>
    <xf numFmtId="0" fontId="16" fillId="34" borderId="42" xfId="0" applyFont="1" applyFill="1" applyBorder="1" applyAlignment="1" applyProtection="1">
      <alignment horizontal="center" vertical="center"/>
      <protection hidden="1"/>
    </xf>
    <xf numFmtId="1" fontId="33" fillId="34" borderId="16" xfId="0" applyNumberFormat="1" applyFont="1" applyFill="1" applyBorder="1" applyAlignment="1" applyProtection="1">
      <alignment horizontal="center" vertical="center"/>
      <protection/>
    </xf>
    <xf numFmtId="0" fontId="16" fillId="34" borderId="11" xfId="0" applyFont="1" applyFill="1" applyBorder="1" applyAlignment="1" applyProtection="1">
      <alignment horizontal="center" vertical="center"/>
      <protection hidden="1"/>
    </xf>
    <xf numFmtId="0" fontId="16" fillId="34" borderId="88" xfId="0" applyFont="1" applyFill="1" applyBorder="1" applyAlignment="1" applyProtection="1">
      <alignment horizontal="center" vertical="center"/>
      <protection hidden="1"/>
    </xf>
    <xf numFmtId="1" fontId="33" fillId="34" borderId="11" xfId="0" applyNumberFormat="1" applyFont="1" applyFill="1" applyBorder="1" applyAlignment="1" applyProtection="1">
      <alignment horizontal="center" vertical="center"/>
      <protection/>
    </xf>
    <xf numFmtId="0" fontId="0" fillId="0" borderId="0" xfId="0" applyFill="1" applyAlignment="1" quotePrefix="1">
      <alignment/>
    </xf>
    <xf numFmtId="0" fontId="0" fillId="0" borderId="0" xfId="0" applyFill="1" applyAlignment="1">
      <alignment horizontal="center"/>
    </xf>
    <xf numFmtId="0" fontId="0" fillId="51" borderId="0" xfId="0" applyFill="1" applyAlignment="1" applyProtection="1">
      <alignment horizontal="center" wrapText="1"/>
      <protection/>
    </xf>
    <xf numFmtId="0" fontId="0" fillId="0" borderId="0" xfId="0" applyFill="1" applyAlignment="1" applyProtection="1">
      <alignment/>
      <protection/>
    </xf>
    <xf numFmtId="0" fontId="26" fillId="35" borderId="30" xfId="0" applyFont="1" applyFill="1" applyBorder="1" applyAlignment="1" applyProtection="1">
      <alignment horizontal="center" vertical="center"/>
      <protection hidden="1"/>
    </xf>
    <xf numFmtId="0" fontId="26" fillId="35" borderId="89" xfId="0" applyFont="1" applyFill="1" applyBorder="1" applyAlignment="1" applyProtection="1">
      <alignment horizontal="center" vertical="center"/>
      <protection hidden="1"/>
    </xf>
    <xf numFmtId="0" fontId="26" fillId="35" borderId="32" xfId="0" applyFont="1" applyFill="1" applyBorder="1" applyAlignment="1" applyProtection="1">
      <alignment horizontal="center" vertical="center"/>
      <protection hidden="1"/>
    </xf>
    <xf numFmtId="0" fontId="25" fillId="33" borderId="63" xfId="0" applyFont="1" applyFill="1" applyBorder="1" applyAlignment="1" applyProtection="1">
      <alignment vertical="center"/>
      <protection/>
    </xf>
    <xf numFmtId="0" fontId="25" fillId="33" borderId="11" xfId="0" applyFont="1" applyFill="1" applyBorder="1" applyAlignment="1" applyProtection="1">
      <alignment vertical="center"/>
      <protection/>
    </xf>
    <xf numFmtId="49" fontId="25" fillId="34" borderId="90" xfId="0" applyNumberFormat="1" applyFont="1" applyFill="1" applyBorder="1" applyAlignment="1" applyProtection="1">
      <alignment horizontal="center" vertical="center"/>
      <protection/>
    </xf>
    <xf numFmtId="0" fontId="39" fillId="47" borderId="11" xfId="0" applyFont="1" applyFill="1" applyBorder="1" applyAlignment="1" applyProtection="1">
      <alignment horizontal="center" vertical="center"/>
      <protection hidden="1"/>
    </xf>
    <xf numFmtId="0" fontId="41" fillId="34" borderId="49" xfId="0" applyFont="1" applyFill="1" applyBorder="1" applyAlignment="1" applyProtection="1">
      <alignment horizontal="center" vertical="center"/>
      <protection/>
    </xf>
    <xf numFmtId="0" fontId="41" fillId="34" borderId="49" xfId="0" applyFont="1" applyFill="1" applyBorder="1" applyAlignment="1" applyProtection="1">
      <alignment vertical="center"/>
      <protection/>
    </xf>
    <xf numFmtId="0" fontId="29" fillId="34" borderId="49" xfId="0" applyFont="1" applyFill="1" applyBorder="1" applyAlignment="1" applyProtection="1">
      <alignment horizontal="center" vertical="center"/>
      <protection/>
    </xf>
    <xf numFmtId="178" fontId="0" fillId="0" borderId="0" xfId="0" applyNumberFormat="1" applyBorder="1" applyAlignment="1" applyProtection="1">
      <alignment horizontal="center"/>
      <protection/>
    </xf>
    <xf numFmtId="0" fontId="16" fillId="36" borderId="58" xfId="0" applyNumberFormat="1" applyFont="1" applyFill="1" applyBorder="1" applyAlignment="1" applyProtection="1">
      <alignment horizontal="center" vertical="center"/>
      <protection hidden="1"/>
    </xf>
    <xf numFmtId="0" fontId="37" fillId="0" borderId="0" xfId="0" applyFont="1" applyBorder="1" applyAlignment="1" applyProtection="1">
      <alignment vertical="top" wrapText="1"/>
      <protection hidden="1"/>
    </xf>
    <xf numFmtId="0" fontId="38" fillId="0" borderId="0" xfId="0" applyFont="1" applyBorder="1" applyAlignment="1" applyProtection="1">
      <alignment vertical="center" wrapText="1"/>
      <protection hidden="1"/>
    </xf>
    <xf numFmtId="0" fontId="17" fillId="0" borderId="0" xfId="0" applyFont="1" applyBorder="1" applyAlignment="1" applyProtection="1">
      <alignment wrapText="1"/>
      <protection/>
    </xf>
    <xf numFmtId="0" fontId="17" fillId="0" borderId="0" xfId="0" applyFont="1" applyBorder="1" applyAlignment="1" applyProtection="1">
      <alignment vertical="center" wrapText="1"/>
      <protection hidden="1"/>
    </xf>
    <xf numFmtId="0" fontId="0" fillId="0" borderId="0" xfId="0" applyFill="1" applyAlignment="1" applyProtection="1">
      <alignment/>
      <protection hidden="1"/>
    </xf>
    <xf numFmtId="1" fontId="33" fillId="0" borderId="19" xfId="0" applyNumberFormat="1" applyFont="1" applyFill="1" applyBorder="1" applyAlignment="1" applyProtection="1">
      <alignment horizontal="center" vertical="center"/>
      <protection hidden="1"/>
    </xf>
    <xf numFmtId="1" fontId="33" fillId="0" borderId="58" xfId="0" applyNumberFormat="1" applyFont="1" applyFill="1" applyBorder="1" applyAlignment="1" applyProtection="1">
      <alignment horizontal="center" vertical="center"/>
      <protection hidden="1"/>
    </xf>
    <xf numFmtId="0" fontId="14" fillId="47" borderId="91" xfId="0" applyFont="1" applyFill="1" applyBorder="1" applyAlignment="1" applyProtection="1">
      <alignment horizontal="center" vertical="center"/>
      <protection hidden="1"/>
    </xf>
    <xf numFmtId="0" fontId="14" fillId="47" borderId="92" xfId="0" applyFont="1" applyFill="1" applyBorder="1" applyAlignment="1" applyProtection="1">
      <alignment horizontal="center" vertical="center"/>
      <protection hidden="1"/>
    </xf>
    <xf numFmtId="0" fontId="14" fillId="33" borderId="15" xfId="0" applyFont="1" applyFill="1" applyBorder="1" applyAlignment="1" applyProtection="1">
      <alignment horizontal="center" vertical="center"/>
      <protection hidden="1"/>
    </xf>
    <xf numFmtId="0" fontId="0" fillId="47" borderId="87" xfId="0" applyFill="1" applyBorder="1" applyAlignment="1" applyProtection="1">
      <alignment horizontal="center"/>
      <protection/>
    </xf>
    <xf numFmtId="0" fontId="0" fillId="0" borderId="87" xfId="0" applyFill="1" applyBorder="1" applyAlignment="1" applyProtection="1">
      <alignment horizontal="center"/>
      <protection/>
    </xf>
    <xf numFmtId="0" fontId="11" fillId="33" borderId="0" xfId="0" applyFont="1" applyFill="1" applyBorder="1" applyAlignment="1">
      <alignment horizontal="center" vertical="top" wrapText="1"/>
    </xf>
    <xf numFmtId="0" fontId="25" fillId="0" borderId="50" xfId="0" applyFont="1" applyBorder="1" applyAlignment="1" applyProtection="1">
      <alignment vertical="center"/>
      <protection hidden="1"/>
    </xf>
    <xf numFmtId="0" fontId="25" fillId="0" borderId="57" xfId="0" applyFont="1" applyBorder="1" applyAlignment="1" applyProtection="1">
      <alignment horizontal="right" vertical="center"/>
      <protection hidden="1"/>
    </xf>
    <xf numFmtId="0" fontId="25" fillId="0" borderId="59" xfId="0" applyFont="1" applyBorder="1" applyAlignment="1" applyProtection="1">
      <alignment horizontal="right" vertical="center"/>
      <protection/>
    </xf>
    <xf numFmtId="0" fontId="0" fillId="0" borderId="93" xfId="0" applyBorder="1" applyAlignment="1" applyProtection="1">
      <alignment/>
      <protection/>
    </xf>
    <xf numFmtId="0" fontId="23" fillId="0" borderId="0" xfId="0" applyFont="1" applyAlignment="1" applyProtection="1">
      <alignment wrapText="1"/>
      <protection/>
    </xf>
    <xf numFmtId="0" fontId="0" fillId="0" borderId="86" xfId="0" applyFill="1" applyBorder="1" applyAlignment="1" applyProtection="1">
      <alignment/>
      <protection/>
    </xf>
    <xf numFmtId="0" fontId="0" fillId="0" borderId="86" xfId="0" applyBorder="1" applyAlignment="1" applyProtection="1">
      <alignment/>
      <protection/>
    </xf>
    <xf numFmtId="1" fontId="0" fillId="0" borderId="86" xfId="0" applyNumberFormat="1" applyFont="1" applyFill="1" applyBorder="1" applyAlignment="1" applyProtection="1">
      <alignment horizontal="center"/>
      <protection/>
    </xf>
    <xf numFmtId="0" fontId="0" fillId="0" borderId="0" xfId="0" applyFill="1" applyBorder="1" applyAlignment="1" applyProtection="1">
      <alignment/>
      <protection/>
    </xf>
    <xf numFmtId="0" fontId="0" fillId="0" borderId="0" xfId="0" applyBorder="1" applyAlignment="1" applyProtection="1">
      <alignment/>
      <protection/>
    </xf>
    <xf numFmtId="1" fontId="0" fillId="0" borderId="0" xfId="0" applyNumberFormat="1" applyFill="1" applyAlignment="1" applyProtection="1">
      <alignment horizontal="center"/>
      <protection/>
    </xf>
    <xf numFmtId="0" fontId="0" fillId="0" borderId="0" xfId="0" applyFont="1" applyFill="1" applyAlignment="1" applyProtection="1">
      <alignment horizontal="center"/>
      <protection/>
    </xf>
    <xf numFmtId="0" fontId="0" fillId="0" borderId="86" xfId="0" applyFont="1" applyBorder="1" applyAlignment="1" applyProtection="1">
      <alignment horizontal="center"/>
      <protection/>
    </xf>
    <xf numFmtId="0" fontId="0" fillId="0" borderId="86" xfId="0" applyFont="1" applyFill="1" applyBorder="1" applyAlignment="1" applyProtection="1">
      <alignment horizontal="center"/>
      <protection/>
    </xf>
    <xf numFmtId="0" fontId="0" fillId="0" borderId="0" xfId="0" applyFont="1" applyAlignment="1" applyProtection="1">
      <alignment horizontal="center"/>
      <protection/>
    </xf>
    <xf numFmtId="0" fontId="0" fillId="0" borderId="87" xfId="0" applyBorder="1" applyAlignment="1" applyProtection="1">
      <alignment horizontal="center"/>
      <protection/>
    </xf>
    <xf numFmtId="0" fontId="0" fillId="0" borderId="87" xfId="0" applyBorder="1" applyAlignment="1" applyProtection="1">
      <alignment/>
      <protection/>
    </xf>
    <xf numFmtId="0" fontId="0" fillId="0" borderId="0" xfId="0" applyFill="1" applyBorder="1" applyAlignment="1" applyProtection="1">
      <alignment horizontal="right"/>
      <protection/>
    </xf>
    <xf numFmtId="0" fontId="0" fillId="0" borderId="0" xfId="0" applyFill="1" applyAlignment="1" applyProtection="1">
      <alignment horizontal="right"/>
      <protection/>
    </xf>
    <xf numFmtId="0" fontId="0" fillId="0" borderId="0" xfId="0" applyNumberFormat="1" applyAlignment="1" applyProtection="1">
      <alignment horizontal="center"/>
      <protection/>
    </xf>
    <xf numFmtId="0" fontId="0" fillId="0" borderId="0" xfId="0" applyFill="1" applyAlignment="1" applyProtection="1">
      <alignment horizontal="left"/>
      <protection/>
    </xf>
    <xf numFmtId="0" fontId="26" fillId="35" borderId="77" xfId="0" applyFont="1" applyFill="1" applyBorder="1" applyAlignment="1" applyProtection="1">
      <alignment horizontal="center" vertical="center"/>
      <protection locked="0"/>
    </xf>
    <xf numFmtId="1" fontId="33" fillId="52" borderId="25" xfId="0" applyNumberFormat="1" applyFont="1" applyFill="1" applyBorder="1" applyAlignment="1" applyProtection="1">
      <alignment horizontal="center" vertical="center"/>
      <protection/>
    </xf>
    <xf numFmtId="0" fontId="16" fillId="52" borderId="30" xfId="0" applyFont="1" applyFill="1" applyBorder="1" applyAlignment="1" applyProtection="1">
      <alignment horizontal="center" vertical="center"/>
      <protection hidden="1"/>
    </xf>
    <xf numFmtId="1" fontId="33" fillId="52" borderId="42" xfId="0" applyNumberFormat="1" applyFont="1" applyFill="1" applyBorder="1" applyAlignment="1" applyProtection="1">
      <alignment horizontal="center" vertical="center"/>
      <protection/>
    </xf>
    <xf numFmtId="0" fontId="16" fillId="52" borderId="89" xfId="0" applyFont="1" applyFill="1" applyBorder="1" applyAlignment="1" applyProtection="1">
      <alignment horizontal="center" vertical="center"/>
      <protection hidden="1"/>
    </xf>
    <xf numFmtId="1" fontId="33" fillId="52" borderId="88" xfId="0" applyNumberFormat="1" applyFont="1" applyFill="1" applyBorder="1" applyAlignment="1" applyProtection="1">
      <alignment horizontal="center" vertical="center"/>
      <protection/>
    </xf>
    <xf numFmtId="0" fontId="16" fillId="52" borderId="32" xfId="0" applyFont="1" applyFill="1" applyBorder="1" applyAlignment="1" applyProtection="1">
      <alignment horizontal="center" vertical="center"/>
      <protection hidden="1"/>
    </xf>
    <xf numFmtId="14" fontId="25" fillId="0" borderId="93" xfId="0" applyNumberFormat="1" applyFont="1" applyBorder="1" applyAlignment="1" applyProtection="1">
      <alignment horizontal="center"/>
      <protection hidden="1"/>
    </xf>
    <xf numFmtId="1" fontId="33" fillId="34" borderId="94" xfId="0" applyNumberFormat="1" applyFont="1" applyFill="1" applyBorder="1" applyAlignment="1" applyProtection="1">
      <alignment horizontal="center" vertical="center"/>
      <protection/>
    </xf>
    <xf numFmtId="1" fontId="33" fillId="34" borderId="95" xfId="0" applyNumberFormat="1" applyFont="1" applyFill="1" applyBorder="1" applyAlignment="1" applyProtection="1">
      <alignment horizontal="center" vertical="center"/>
      <protection/>
    </xf>
    <xf numFmtId="1" fontId="33" fillId="34" borderId="96" xfId="0" applyNumberFormat="1" applyFont="1" applyFill="1" applyBorder="1" applyAlignment="1" applyProtection="1">
      <alignment horizontal="center" vertical="center"/>
      <protection/>
    </xf>
    <xf numFmtId="1" fontId="33" fillId="34" borderId="97" xfId="0" applyNumberFormat="1" applyFont="1" applyFill="1" applyBorder="1" applyAlignment="1" applyProtection="1">
      <alignment horizontal="center" vertical="center"/>
      <protection/>
    </xf>
    <xf numFmtId="49" fontId="25" fillId="48" borderId="98" xfId="0" applyNumberFormat="1" applyFont="1" applyFill="1" applyBorder="1" applyAlignment="1" applyProtection="1">
      <alignment horizontal="center" vertical="center"/>
      <protection/>
    </xf>
    <xf numFmtId="49" fontId="25" fillId="48" borderId="99" xfId="0" applyNumberFormat="1" applyFont="1" applyFill="1" applyBorder="1" applyAlignment="1" applyProtection="1">
      <alignment horizontal="center" vertical="center"/>
      <protection/>
    </xf>
    <xf numFmtId="0" fontId="26" fillId="48" borderId="100" xfId="0" applyFont="1" applyFill="1" applyBorder="1" applyAlignment="1" applyProtection="1">
      <alignment horizontal="center" vertical="center"/>
      <protection hidden="1"/>
    </xf>
    <xf numFmtId="49" fontId="25" fillId="53" borderId="18" xfId="0" applyNumberFormat="1" applyFont="1" applyFill="1" applyBorder="1" applyAlignment="1" applyProtection="1">
      <alignment horizontal="center" vertical="center"/>
      <protection/>
    </xf>
    <xf numFmtId="49" fontId="25" fillId="53" borderId="20" xfId="0" applyNumberFormat="1" applyFont="1" applyFill="1" applyBorder="1" applyAlignment="1" applyProtection="1">
      <alignment horizontal="center" vertical="center"/>
      <protection/>
    </xf>
    <xf numFmtId="49" fontId="25" fillId="53" borderId="19" xfId="0" applyNumberFormat="1" applyFont="1" applyFill="1" applyBorder="1" applyAlignment="1" applyProtection="1">
      <alignment horizontal="center" vertical="center"/>
      <protection/>
    </xf>
    <xf numFmtId="49" fontId="25" fillId="53" borderId="101" xfId="0" applyNumberFormat="1" applyFont="1" applyFill="1" applyBorder="1" applyAlignment="1" applyProtection="1">
      <alignment horizontal="center" vertical="center"/>
      <protection/>
    </xf>
    <xf numFmtId="1" fontId="33" fillId="53" borderId="42" xfId="0" applyNumberFormat="1" applyFont="1" applyFill="1" applyBorder="1" applyAlignment="1" applyProtection="1">
      <alignment horizontal="center" vertical="center"/>
      <protection locked="0"/>
    </xf>
    <xf numFmtId="1" fontId="33" fillId="53" borderId="14" xfId="0" applyNumberFormat="1" applyFont="1" applyFill="1" applyBorder="1" applyAlignment="1" applyProtection="1">
      <alignment horizontal="center" vertical="center"/>
      <protection locked="0"/>
    </xf>
    <xf numFmtId="0" fontId="16" fillId="53" borderId="100" xfId="0" applyFont="1" applyFill="1" applyBorder="1" applyAlignment="1" applyProtection="1">
      <alignment horizontal="center" vertical="center"/>
      <protection locked="0"/>
    </xf>
    <xf numFmtId="0" fontId="16" fillId="53" borderId="42" xfId="0" applyFont="1" applyFill="1" applyBorder="1" applyAlignment="1" applyProtection="1">
      <alignment horizontal="center" vertical="center"/>
      <protection locked="0"/>
    </xf>
    <xf numFmtId="0" fontId="16" fillId="53" borderId="14" xfId="0" applyFont="1" applyFill="1" applyBorder="1" applyAlignment="1" applyProtection="1">
      <alignment horizontal="center" vertical="center"/>
      <protection locked="0"/>
    </xf>
    <xf numFmtId="1" fontId="33" fillId="53" borderId="80" xfId="0" applyNumberFormat="1" applyFont="1" applyFill="1" applyBorder="1" applyAlignment="1" applyProtection="1">
      <alignment horizontal="center" vertical="center"/>
      <protection locked="0"/>
    </xf>
    <xf numFmtId="1" fontId="33" fillId="53" borderId="102" xfId="0" applyNumberFormat="1" applyFont="1" applyFill="1" applyBorder="1" applyAlignment="1" applyProtection="1">
      <alignment horizontal="center" vertical="center"/>
      <protection locked="0"/>
    </xf>
    <xf numFmtId="1" fontId="33" fillId="53" borderId="81" xfId="0" applyNumberFormat="1" applyFont="1" applyFill="1" applyBorder="1" applyAlignment="1" applyProtection="1">
      <alignment horizontal="center" vertical="center"/>
      <protection locked="0"/>
    </xf>
    <xf numFmtId="1" fontId="33" fillId="53" borderId="12" xfId="0" applyNumberFormat="1" applyFont="1" applyFill="1" applyBorder="1" applyAlignment="1" applyProtection="1">
      <alignment horizontal="center" vertical="center"/>
      <protection locked="0"/>
    </xf>
    <xf numFmtId="1" fontId="33" fillId="53" borderId="13" xfId="0" applyNumberFormat="1" applyFont="1" applyFill="1" applyBorder="1" applyAlignment="1" applyProtection="1">
      <alignment horizontal="center" vertical="center"/>
      <protection locked="0"/>
    </xf>
    <xf numFmtId="1" fontId="33" fillId="53" borderId="100" xfId="0" applyNumberFormat="1" applyFont="1" applyFill="1" applyBorder="1" applyAlignment="1" applyProtection="1">
      <alignment horizontal="center" vertical="center"/>
      <protection/>
    </xf>
    <xf numFmtId="1" fontId="33" fillId="53" borderId="42" xfId="0" applyNumberFormat="1" applyFont="1" applyFill="1" applyBorder="1" applyAlignment="1" applyProtection="1">
      <alignment horizontal="center" vertical="center"/>
      <protection/>
    </xf>
    <xf numFmtId="1" fontId="33" fillId="53" borderId="80" xfId="0" applyNumberFormat="1" applyFont="1" applyFill="1" applyBorder="1" applyAlignment="1" applyProtection="1">
      <alignment horizontal="center" vertical="center"/>
      <protection/>
    </xf>
    <xf numFmtId="1" fontId="33" fillId="53" borderId="102" xfId="0" applyNumberFormat="1" applyFont="1" applyFill="1" applyBorder="1" applyAlignment="1" applyProtection="1">
      <alignment horizontal="center" vertical="center"/>
      <protection/>
    </xf>
    <xf numFmtId="0" fontId="16" fillId="50" borderId="16" xfId="0" applyFont="1" applyFill="1" applyBorder="1" applyAlignment="1" applyProtection="1">
      <alignment horizontal="center" vertical="center"/>
      <protection hidden="1"/>
    </xf>
    <xf numFmtId="0" fontId="16" fillId="50" borderId="77" xfId="0" applyFont="1" applyFill="1" applyBorder="1" applyAlignment="1" applyProtection="1">
      <alignment horizontal="center" vertical="center"/>
      <protection hidden="1"/>
    </xf>
    <xf numFmtId="0" fontId="34" fillId="0" borderId="0" xfId="0" applyFont="1" applyBorder="1" applyAlignment="1" applyProtection="1">
      <alignment wrapText="1"/>
      <protection hidden="1"/>
    </xf>
    <xf numFmtId="0" fontId="26" fillId="0" borderId="0" xfId="0" applyFont="1" applyFill="1" applyBorder="1" applyAlignment="1" applyProtection="1">
      <alignment vertical="center" wrapText="1"/>
      <protection/>
    </xf>
    <xf numFmtId="0" fontId="29" fillId="0" borderId="0" xfId="0" applyFont="1" applyAlignment="1" applyProtection="1">
      <alignment/>
      <protection hidden="1"/>
    </xf>
    <xf numFmtId="0" fontId="13" fillId="0" borderId="0" xfId="0" applyFont="1" applyAlignment="1" applyProtection="1">
      <alignment/>
      <protection/>
    </xf>
    <xf numFmtId="0" fontId="13" fillId="0" borderId="0" xfId="0" applyFont="1" applyAlignment="1" applyProtection="1">
      <alignment horizontal="center"/>
      <protection/>
    </xf>
    <xf numFmtId="0" fontId="0" fillId="0" borderId="87" xfId="0" applyFill="1" applyBorder="1" applyAlignment="1" applyProtection="1">
      <alignment/>
      <protection/>
    </xf>
    <xf numFmtId="0" fontId="0" fillId="0" borderId="87" xfId="0" applyFont="1" applyFill="1" applyBorder="1" applyAlignment="1" applyProtection="1">
      <alignment horizontal="center"/>
      <protection/>
    </xf>
    <xf numFmtId="0" fontId="17" fillId="0" borderId="0" xfId="0" applyFont="1" applyAlignment="1" applyProtection="1">
      <alignment/>
      <protection/>
    </xf>
    <xf numFmtId="0" fontId="36" fillId="0" borderId="0" xfId="0" applyFont="1" applyBorder="1" applyAlignment="1" applyProtection="1">
      <alignment vertical="center" wrapText="1"/>
      <protection hidden="1"/>
    </xf>
    <xf numFmtId="0" fontId="71" fillId="0" borderId="0" xfId="0" applyFont="1" applyBorder="1" applyAlignment="1" applyProtection="1">
      <alignment horizontal="center" wrapText="1"/>
      <protection hidden="1"/>
    </xf>
    <xf numFmtId="0" fontId="0" fillId="0" borderId="0" xfId="0" applyAlignment="1" applyProtection="1">
      <alignment horizontal="right"/>
      <protection/>
    </xf>
    <xf numFmtId="0" fontId="0" fillId="0" borderId="0" xfId="0" applyAlignment="1" applyProtection="1">
      <alignment vertical="center" wrapText="1"/>
      <protection/>
    </xf>
    <xf numFmtId="0" fontId="0" fillId="0" borderId="0" xfId="0" applyFont="1" applyAlignment="1">
      <alignment/>
    </xf>
    <xf numFmtId="0" fontId="16" fillId="50" borderId="80" xfId="0" applyFont="1" applyFill="1" applyBorder="1" applyAlignment="1" applyProtection="1">
      <alignment horizontal="center" vertical="center"/>
      <protection hidden="1"/>
    </xf>
    <xf numFmtId="2" fontId="41" fillId="34" borderId="103" xfId="0" applyNumberFormat="1" applyFont="1" applyFill="1" applyBorder="1" applyAlignment="1" applyProtection="1">
      <alignment horizontal="left" vertical="center" shrinkToFit="1"/>
      <protection/>
    </xf>
    <xf numFmtId="1" fontId="46" fillId="0" borderId="0" xfId="0" applyNumberFormat="1" applyFont="1" applyBorder="1" applyAlignment="1" applyProtection="1">
      <alignment horizontal="center" wrapText="1"/>
      <protection hidden="1"/>
    </xf>
    <xf numFmtId="14" fontId="14" fillId="33" borderId="0" xfId="0" applyNumberFormat="1" applyFont="1" applyFill="1" applyAlignment="1" applyProtection="1">
      <alignment/>
      <protection locked="0"/>
    </xf>
    <xf numFmtId="0" fontId="22" fillId="0" borderId="93" xfId="0" applyFont="1" applyBorder="1" applyAlignment="1" applyProtection="1">
      <alignment vertical="top" wrapText="1"/>
      <protection hidden="1"/>
    </xf>
    <xf numFmtId="0" fontId="0" fillId="0" borderId="0" xfId="0" applyFont="1" applyFill="1" applyBorder="1" applyAlignment="1" applyProtection="1">
      <alignment horizontal="center" wrapText="1"/>
      <protection/>
    </xf>
    <xf numFmtId="0" fontId="0" fillId="0" borderId="0" xfId="0" applyFill="1" applyBorder="1" applyAlignment="1">
      <alignment horizontal="center"/>
    </xf>
    <xf numFmtId="0" fontId="0" fillId="0" borderId="0" xfId="0" applyBorder="1" applyAlignment="1" applyProtection="1">
      <alignment horizontal="center" wrapText="1"/>
      <protection/>
    </xf>
    <xf numFmtId="0" fontId="0" fillId="0" borderId="0" xfId="0" applyFont="1" applyFill="1" applyBorder="1" applyAlignment="1" applyProtection="1">
      <alignment horizontal="center"/>
      <protection/>
    </xf>
    <xf numFmtId="0" fontId="0" fillId="0" borderId="0" xfId="0" applyFont="1" applyBorder="1" applyAlignment="1" applyProtection="1">
      <alignment wrapText="1"/>
      <protection/>
    </xf>
    <xf numFmtId="0" fontId="0" fillId="0" borderId="55" xfId="0" applyBorder="1" applyAlignment="1" applyProtection="1">
      <alignment horizontal="right" vertical="center"/>
      <protection hidden="1"/>
    </xf>
    <xf numFmtId="0" fontId="0" fillId="0" borderId="17" xfId="0" applyFont="1" applyBorder="1" applyAlignment="1" applyProtection="1">
      <alignment horizontal="right" vertical="center"/>
      <protection/>
    </xf>
    <xf numFmtId="0" fontId="0" fillId="54" borderId="104" xfId="0" applyFont="1" applyFill="1" applyBorder="1" applyAlignment="1" applyProtection="1">
      <alignment horizontal="center"/>
      <protection/>
    </xf>
    <xf numFmtId="0" fontId="0" fillId="54" borderId="0" xfId="0" applyFont="1" applyFill="1" applyBorder="1" applyAlignment="1" applyProtection="1">
      <alignment horizontal="center"/>
      <protection/>
    </xf>
    <xf numFmtId="0" fontId="0" fillId="54" borderId="86" xfId="0" applyFont="1" applyFill="1" applyBorder="1" applyAlignment="1" applyProtection="1">
      <alignment horizontal="center"/>
      <protection/>
    </xf>
    <xf numFmtId="0" fontId="0" fillId="0" borderId="86" xfId="0" applyFill="1" applyBorder="1" applyAlignment="1">
      <alignment horizontal="center"/>
    </xf>
    <xf numFmtId="0" fontId="74" fillId="0" borderId="93" xfId="0" applyFont="1" applyBorder="1" applyAlignment="1" applyProtection="1">
      <alignment vertical="top" wrapText="1"/>
      <protection hidden="1"/>
    </xf>
    <xf numFmtId="0" fontId="74" fillId="0" borderId="93" xfId="0" applyFont="1" applyBorder="1" applyAlignment="1" applyProtection="1">
      <alignment wrapText="1"/>
      <protection hidden="1"/>
    </xf>
    <xf numFmtId="0" fontId="0" fillId="0" borderId="0" xfId="0" applyAlignment="1">
      <alignment wrapText="1"/>
    </xf>
    <xf numFmtId="0" fontId="0" fillId="0" borderId="0" xfId="0" applyAlignment="1">
      <alignment/>
    </xf>
    <xf numFmtId="0" fontId="16" fillId="50" borderId="100" xfId="0" applyFont="1" applyFill="1" applyBorder="1" applyAlignment="1" applyProtection="1">
      <alignment horizontal="center" vertical="center"/>
      <protection hidden="1"/>
    </xf>
    <xf numFmtId="1" fontId="0" fillId="0" borderId="0" xfId="0" applyNumberFormat="1" applyFill="1" applyBorder="1" applyAlignment="1" applyProtection="1">
      <alignment horizontal="center" wrapText="1"/>
      <protection/>
    </xf>
    <xf numFmtId="1" fontId="0" fillId="0" borderId="0" xfId="0" applyNumberFormat="1" applyAlignment="1">
      <alignment horizontal="center"/>
    </xf>
    <xf numFmtId="1" fontId="33" fillId="34" borderId="80" xfId="0" applyNumberFormat="1" applyFont="1" applyFill="1" applyBorder="1" applyAlignment="1" applyProtection="1">
      <alignment horizontal="center" vertical="center"/>
      <protection/>
    </xf>
    <xf numFmtId="1" fontId="33" fillId="34" borderId="102" xfId="0" applyNumberFormat="1" applyFont="1" applyFill="1" applyBorder="1" applyAlignment="1" applyProtection="1">
      <alignment horizontal="center" vertical="center"/>
      <protection/>
    </xf>
    <xf numFmtId="0" fontId="0" fillId="55" borderId="0" xfId="0" applyFill="1" applyAlignment="1" applyProtection="1">
      <alignment horizontal="center"/>
      <protection/>
    </xf>
    <xf numFmtId="0" fontId="0" fillId="55" borderId="0" xfId="0" applyFill="1" applyAlignment="1" applyProtection="1">
      <alignment horizontal="left"/>
      <protection/>
    </xf>
    <xf numFmtId="1" fontId="0" fillId="55" borderId="0" xfId="0" applyNumberFormat="1" applyFill="1" applyAlignment="1" applyProtection="1">
      <alignment horizontal="center"/>
      <protection/>
    </xf>
    <xf numFmtId="0" fontId="0" fillId="55" borderId="86" xfId="0" applyFill="1" applyBorder="1" applyAlignment="1" applyProtection="1">
      <alignment horizontal="center"/>
      <protection/>
    </xf>
    <xf numFmtId="1" fontId="0" fillId="55" borderId="86" xfId="0" applyNumberFormat="1" applyFill="1" applyBorder="1" applyAlignment="1" applyProtection="1">
      <alignment horizontal="center"/>
      <protection/>
    </xf>
    <xf numFmtId="0" fontId="0" fillId="0" borderId="0" xfId="0" applyFill="1" applyAlignment="1">
      <alignment/>
    </xf>
    <xf numFmtId="0" fontId="0" fillId="56" borderId="86" xfId="0" applyFill="1" applyBorder="1" applyAlignment="1" applyProtection="1">
      <alignment horizontal="center"/>
      <protection/>
    </xf>
    <xf numFmtId="0" fontId="0" fillId="56" borderId="0" xfId="0" applyFill="1" applyAlignment="1" applyProtection="1">
      <alignment/>
      <protection/>
    </xf>
    <xf numFmtId="0" fontId="0" fillId="56" borderId="0" xfId="0" applyFill="1" applyAlignment="1" applyProtection="1">
      <alignment horizontal="center"/>
      <protection/>
    </xf>
    <xf numFmtId="176" fontId="0" fillId="0" borderId="0" xfId="0" applyNumberFormat="1" applyFill="1" applyAlignment="1" applyProtection="1">
      <alignment horizontal="center"/>
      <protection/>
    </xf>
    <xf numFmtId="0" fontId="16" fillId="36" borderId="102" xfId="0" applyFont="1" applyFill="1" applyBorder="1" applyAlignment="1" applyProtection="1">
      <alignment horizontal="center" vertical="center"/>
      <protection hidden="1"/>
    </xf>
    <xf numFmtId="1" fontId="56" fillId="0" borderId="105" xfId="0" applyNumberFormat="1" applyFont="1" applyFill="1" applyBorder="1" applyAlignment="1" applyProtection="1">
      <alignment horizontal="center"/>
      <protection hidden="1"/>
    </xf>
    <xf numFmtId="0" fontId="0" fillId="0" borderId="0" xfId="0" applyAlignment="1" applyProtection="1">
      <alignment/>
      <protection locked="0"/>
    </xf>
    <xf numFmtId="0" fontId="26" fillId="0" borderId="0" xfId="0" applyFont="1" applyAlignment="1" applyProtection="1">
      <alignment vertical="center" wrapText="1"/>
      <protection/>
    </xf>
    <xf numFmtId="1" fontId="44" fillId="41" borderId="105" xfId="0" applyNumberFormat="1" applyFont="1" applyFill="1" applyBorder="1" applyAlignment="1" applyProtection="1">
      <alignment horizontal="center" vertical="center"/>
      <protection hidden="1"/>
    </xf>
    <xf numFmtId="0" fontId="0" fillId="0" borderId="0" xfId="0" applyFont="1" applyAlignment="1" applyProtection="1">
      <alignment horizontal="center"/>
      <protection/>
    </xf>
    <xf numFmtId="0" fontId="25" fillId="0" borderId="106" xfId="0" applyFont="1" applyBorder="1" applyAlignment="1" applyProtection="1">
      <alignment horizontal="center" vertical="center"/>
      <protection hidden="1"/>
    </xf>
    <xf numFmtId="0" fontId="0" fillId="0" borderId="0" xfId="0" applyFont="1" applyBorder="1" applyAlignment="1" applyProtection="1">
      <alignment horizontal="center"/>
      <protection/>
    </xf>
    <xf numFmtId="0" fontId="0" fillId="0" borderId="93" xfId="0" applyBorder="1" applyAlignment="1">
      <alignment/>
    </xf>
    <xf numFmtId="0" fontId="0" fillId="0" borderId="93" xfId="0" applyBorder="1" applyAlignment="1">
      <alignment horizontal="center"/>
    </xf>
    <xf numFmtId="0" fontId="0" fillId="0" borderId="0" xfId="0" applyFont="1" applyFill="1" applyAlignment="1" applyProtection="1">
      <alignment wrapText="1"/>
      <protection/>
    </xf>
    <xf numFmtId="0" fontId="44" fillId="48" borderId="13" xfId="0" applyFont="1" applyFill="1" applyBorder="1" applyAlignment="1" applyProtection="1">
      <alignment horizontal="center" vertical="center"/>
      <protection hidden="1" locked="0"/>
    </xf>
    <xf numFmtId="0" fontId="44" fillId="48" borderId="89" xfId="0" applyFont="1" applyFill="1" applyBorder="1" applyAlignment="1" applyProtection="1">
      <alignment horizontal="center" vertical="center"/>
      <protection hidden="1" locked="0"/>
    </xf>
    <xf numFmtId="0" fontId="44" fillId="48" borderId="107" xfId="0" applyFont="1" applyFill="1" applyBorder="1" applyAlignment="1" applyProtection="1">
      <alignment horizontal="center" vertical="center"/>
      <protection hidden="1" locked="0"/>
    </xf>
    <xf numFmtId="0" fontId="44" fillId="48" borderId="108" xfId="0" applyFont="1" applyFill="1" applyBorder="1" applyAlignment="1" applyProtection="1">
      <alignment horizontal="center" vertical="center"/>
      <protection hidden="1" locked="0"/>
    </xf>
    <xf numFmtId="0" fontId="44" fillId="48" borderId="14" xfId="0" applyFont="1" applyFill="1" applyBorder="1" applyAlignment="1" applyProtection="1">
      <alignment horizontal="center" vertical="center"/>
      <protection hidden="1" locked="0"/>
    </xf>
    <xf numFmtId="0" fontId="44" fillId="48" borderId="61" xfId="0" applyFont="1" applyFill="1" applyBorder="1" applyAlignment="1" applyProtection="1">
      <alignment horizontal="center" vertical="center"/>
      <protection hidden="1" locked="0"/>
    </xf>
    <xf numFmtId="0" fontId="44" fillId="48" borderId="13" xfId="0" applyFont="1" applyFill="1" applyBorder="1" applyAlignment="1" applyProtection="1">
      <alignment horizontal="center" vertical="center"/>
      <protection hidden="1"/>
    </xf>
    <xf numFmtId="0" fontId="44" fillId="48" borderId="81" xfId="0" applyFont="1" applyFill="1" applyBorder="1" applyAlignment="1" applyProtection="1">
      <alignment horizontal="center" vertical="center"/>
      <protection hidden="1"/>
    </xf>
    <xf numFmtId="0" fontId="44" fillId="48" borderId="109" xfId="0" applyFont="1" applyFill="1" applyBorder="1" applyAlignment="1" applyProtection="1">
      <alignment horizontal="center" vertical="center"/>
      <protection hidden="1" locked="0"/>
    </xf>
    <xf numFmtId="0" fontId="44" fillId="48" borderId="79" xfId="0" applyFont="1" applyFill="1" applyBorder="1" applyAlignment="1" applyProtection="1">
      <alignment horizontal="center" vertical="center"/>
      <protection hidden="1" locked="0"/>
    </xf>
    <xf numFmtId="0" fontId="44" fillId="48" borderId="84" xfId="0" applyFont="1" applyFill="1" applyBorder="1" applyAlignment="1" applyProtection="1">
      <alignment horizontal="center" vertical="center"/>
      <protection hidden="1" locked="0"/>
    </xf>
    <xf numFmtId="0" fontId="44" fillId="48" borderId="85" xfId="0" applyFont="1" applyFill="1" applyBorder="1" applyAlignment="1" applyProtection="1">
      <alignment horizontal="center" vertical="center"/>
      <protection hidden="1" locked="0"/>
    </xf>
    <xf numFmtId="0" fontId="44" fillId="0" borderId="110" xfId="0" applyFont="1" applyBorder="1" applyAlignment="1">
      <alignment horizontal="center" vertical="center"/>
    </xf>
    <xf numFmtId="0" fontId="44" fillId="34" borderId="111" xfId="0" applyFont="1" applyFill="1" applyBorder="1" applyAlignment="1" applyProtection="1">
      <alignment horizontal="center" vertical="center"/>
      <protection locked="0"/>
    </xf>
    <xf numFmtId="0" fontId="51" fillId="0" borderId="0" xfId="0" applyFont="1" applyBorder="1" applyAlignment="1">
      <alignment horizontal="center" vertical="center"/>
    </xf>
    <xf numFmtId="0" fontId="53" fillId="0" borderId="0" xfId="0" applyFont="1" applyBorder="1" applyAlignment="1">
      <alignment horizontal="center" vertical="center"/>
    </xf>
    <xf numFmtId="1" fontId="44" fillId="57" borderId="112" xfId="0" applyNumberFormat="1" applyFont="1" applyFill="1" applyBorder="1" applyAlignment="1" applyProtection="1">
      <alignment horizontal="center" vertical="center"/>
      <protection hidden="1"/>
    </xf>
    <xf numFmtId="0" fontId="16" fillId="0" borderId="0" xfId="0" applyFont="1" applyFill="1" applyBorder="1" applyAlignment="1" applyProtection="1">
      <alignment vertical="center"/>
      <protection/>
    </xf>
    <xf numFmtId="0" fontId="16" fillId="58" borderId="113" xfId="0" applyFont="1" applyFill="1" applyBorder="1" applyAlignment="1" applyProtection="1">
      <alignment vertical="center"/>
      <protection/>
    </xf>
    <xf numFmtId="1" fontId="58" fillId="0" borderId="51" xfId="0" applyNumberFormat="1" applyFont="1" applyBorder="1" applyAlignment="1" applyProtection="1">
      <alignment horizontal="center" vertical="center"/>
      <protection hidden="1"/>
    </xf>
    <xf numFmtId="1" fontId="44" fillId="41" borderId="114" xfId="0" applyNumberFormat="1" applyFont="1" applyFill="1" applyBorder="1" applyAlignment="1" applyProtection="1">
      <alignment horizontal="center" vertical="center"/>
      <protection hidden="1"/>
    </xf>
    <xf numFmtId="172" fontId="29" fillId="42" borderId="69" xfId="0" applyNumberFormat="1" applyFont="1" applyFill="1" applyBorder="1" applyAlignment="1" applyProtection="1">
      <alignment horizontal="center" vertical="center"/>
      <protection hidden="1"/>
    </xf>
    <xf numFmtId="172" fontId="29" fillId="42" borderId="49" xfId="0" applyNumberFormat="1" applyFont="1" applyFill="1" applyBorder="1" applyAlignment="1" applyProtection="1">
      <alignment horizontal="center" vertical="center"/>
      <protection hidden="1"/>
    </xf>
    <xf numFmtId="0" fontId="0" fillId="0" borderId="0" xfId="0" applyFont="1" applyAlignment="1">
      <alignment horizontal="left" vertical="center"/>
    </xf>
    <xf numFmtId="0" fontId="27" fillId="0" borderId="0" xfId="0" applyFont="1" applyAlignment="1">
      <alignment horizontal="left" vertical="center"/>
    </xf>
    <xf numFmtId="0" fontId="77" fillId="0" borderId="0" xfId="0" applyFont="1" applyBorder="1" applyAlignment="1">
      <alignment horizontal="left" vertical="center" shrinkToFit="1"/>
    </xf>
    <xf numFmtId="1" fontId="77" fillId="0" borderId="0" xfId="0" applyNumberFormat="1" applyFont="1" applyBorder="1" applyAlignment="1">
      <alignment horizontal="left" vertical="center" shrinkToFit="1"/>
    </xf>
    <xf numFmtId="0" fontId="0" fillId="0" borderId="0" xfId="0" applyFont="1" applyBorder="1" applyAlignment="1">
      <alignment horizontal="left" vertical="center"/>
    </xf>
    <xf numFmtId="1" fontId="0" fillId="0" borderId="0" xfId="0" applyNumberFormat="1" applyFont="1" applyBorder="1" applyAlignment="1">
      <alignment horizontal="right" vertical="center"/>
    </xf>
    <xf numFmtId="0" fontId="44" fillId="47" borderId="115" xfId="0" applyFont="1" applyFill="1" applyBorder="1" applyAlignment="1" applyProtection="1">
      <alignment horizontal="center" vertical="center"/>
      <protection locked="0"/>
    </xf>
    <xf numFmtId="0" fontId="0" fillId="47" borderId="0" xfId="0" applyFill="1" applyAlignment="1" applyProtection="1">
      <alignment horizontal="right"/>
      <protection locked="0"/>
    </xf>
    <xf numFmtId="0" fontId="0" fillId="47" borderId="0" xfId="0" applyFill="1" applyAlignment="1" applyProtection="1">
      <alignment/>
      <protection locked="0"/>
    </xf>
    <xf numFmtId="0" fontId="0" fillId="47" borderId="0" xfId="0" applyFill="1" applyAlignment="1" applyProtection="1">
      <alignment horizontal="center"/>
      <protection locked="0"/>
    </xf>
    <xf numFmtId="0" fontId="0" fillId="47" borderId="0" xfId="0" applyFill="1" applyAlignment="1" applyProtection="1">
      <alignment horizontal="center" wrapText="1"/>
      <protection locked="0"/>
    </xf>
    <xf numFmtId="0" fontId="0" fillId="47" borderId="0" xfId="0" applyFont="1" applyFill="1" applyAlignment="1" applyProtection="1">
      <alignment/>
      <protection locked="0"/>
    </xf>
    <xf numFmtId="0" fontId="0" fillId="47" borderId="0" xfId="0" applyFont="1" applyFill="1" applyAlignment="1" applyProtection="1">
      <alignment horizontal="center"/>
      <protection locked="0"/>
    </xf>
    <xf numFmtId="0" fontId="62" fillId="59" borderId="53" xfId="0" applyFont="1" applyFill="1" applyBorder="1" applyAlignment="1">
      <alignment horizontal="center"/>
    </xf>
    <xf numFmtId="0" fontId="62" fillId="59" borderId="54" xfId="0" applyFont="1" applyFill="1" applyBorder="1" applyAlignment="1">
      <alignment horizontal="center"/>
    </xf>
    <xf numFmtId="0" fontId="62" fillId="59" borderId="55" xfId="0" applyFont="1" applyFill="1" applyBorder="1" applyAlignment="1">
      <alignment horizontal="center"/>
    </xf>
    <xf numFmtId="0" fontId="62" fillId="59" borderId="56" xfId="0" applyFont="1" applyFill="1" applyBorder="1" applyAlignment="1">
      <alignment horizontal="center"/>
    </xf>
    <xf numFmtId="0" fontId="62" fillId="59" borderId="57" xfId="0" applyFont="1" applyFill="1" applyBorder="1" applyAlignment="1">
      <alignment horizontal="center"/>
    </xf>
    <xf numFmtId="0" fontId="62" fillId="59" borderId="18" xfId="0" applyFont="1" applyFill="1" applyBorder="1" applyAlignment="1">
      <alignment horizontal="center"/>
    </xf>
    <xf numFmtId="0" fontId="62" fillId="59" borderId="17" xfId="0" applyFont="1" applyFill="1" applyBorder="1" applyAlignment="1">
      <alignment horizontal="center"/>
    </xf>
    <xf numFmtId="0" fontId="62" fillId="59" borderId="59" xfId="0" applyFont="1" applyFill="1" applyBorder="1" applyAlignment="1">
      <alignment horizontal="center"/>
    </xf>
    <xf numFmtId="0" fontId="0" fillId="60" borderId="15" xfId="0" applyFill="1" applyBorder="1" applyAlignment="1" applyProtection="1">
      <alignment horizontal="center"/>
      <protection hidden="1"/>
    </xf>
    <xf numFmtId="0" fontId="0" fillId="60" borderId="0" xfId="0" applyFill="1" applyBorder="1" applyAlignment="1" applyProtection="1">
      <alignment horizontal="center"/>
      <protection hidden="1"/>
    </xf>
    <xf numFmtId="0" fontId="0" fillId="60" borderId="30" xfId="0" applyFill="1" applyBorder="1" applyAlignment="1" applyProtection="1">
      <alignment horizontal="center"/>
      <protection hidden="1"/>
    </xf>
    <xf numFmtId="0" fontId="0" fillId="61" borderId="15" xfId="0" applyFill="1" applyBorder="1" applyAlignment="1" applyProtection="1">
      <alignment horizontal="center"/>
      <protection hidden="1"/>
    </xf>
    <xf numFmtId="0" fontId="0" fillId="61" borderId="0" xfId="0" applyFill="1" applyBorder="1" applyAlignment="1" applyProtection="1">
      <alignment horizontal="center"/>
      <protection hidden="1"/>
    </xf>
    <xf numFmtId="0" fontId="0" fillId="61" borderId="30" xfId="0" applyFill="1" applyBorder="1" applyAlignment="1" applyProtection="1">
      <alignment horizontal="center"/>
      <protection hidden="1"/>
    </xf>
    <xf numFmtId="0" fontId="0" fillId="61" borderId="11" xfId="0" applyFill="1" applyBorder="1" applyAlignment="1" applyProtection="1">
      <alignment horizontal="center"/>
      <protection hidden="1"/>
    </xf>
    <xf numFmtId="0" fontId="0" fillId="61" borderId="10" xfId="0" applyFill="1" applyBorder="1" applyAlignment="1" applyProtection="1">
      <alignment horizontal="center"/>
      <protection hidden="1"/>
    </xf>
    <xf numFmtId="0" fontId="0" fillId="61" borderId="32" xfId="0" applyFill="1" applyBorder="1" applyAlignment="1" applyProtection="1">
      <alignment horizontal="center"/>
      <protection hidden="1"/>
    </xf>
    <xf numFmtId="0" fontId="0" fillId="62" borderId="68" xfId="0" applyFill="1" applyBorder="1" applyAlignment="1" applyProtection="1">
      <alignment horizontal="center"/>
      <protection locked="0"/>
    </xf>
    <xf numFmtId="0" fontId="0" fillId="63" borderId="68" xfId="0" applyFill="1" applyBorder="1" applyAlignment="1" applyProtection="1">
      <alignment horizontal="center"/>
      <protection hidden="1"/>
    </xf>
    <xf numFmtId="0" fontId="36" fillId="0" borderId="0" xfId="0" applyFont="1" applyAlignment="1">
      <alignment horizontal="right"/>
    </xf>
    <xf numFmtId="0" fontId="19" fillId="33" borderId="0" xfId="48" applyNumberFormat="1" applyFont="1" applyFill="1" applyBorder="1" applyAlignment="1" applyProtection="1">
      <alignment horizontal="center" vertical="center"/>
      <protection/>
    </xf>
    <xf numFmtId="0" fontId="16" fillId="50" borderId="116" xfId="0" applyFont="1" applyFill="1" applyBorder="1" applyAlignment="1" applyProtection="1">
      <alignment horizontal="center" vertical="center"/>
      <protection hidden="1"/>
    </xf>
    <xf numFmtId="0" fontId="26" fillId="48" borderId="116" xfId="0" applyFont="1" applyFill="1" applyBorder="1" applyAlignment="1" applyProtection="1">
      <alignment horizontal="center" vertical="center"/>
      <protection hidden="1"/>
    </xf>
    <xf numFmtId="0" fontId="16" fillId="50" borderId="79" xfId="0" applyFont="1" applyFill="1" applyBorder="1" applyAlignment="1" applyProtection="1">
      <alignment horizontal="center" vertical="center"/>
      <protection hidden="1"/>
    </xf>
    <xf numFmtId="0" fontId="0" fillId="0" borderId="0" xfId="0" applyFont="1" applyFill="1" applyAlignment="1" applyProtection="1">
      <alignment horizontal="center"/>
      <protection locked="0"/>
    </xf>
    <xf numFmtId="0" fontId="16" fillId="33" borderId="66" xfId="0" applyFont="1" applyFill="1" applyBorder="1" applyAlignment="1" applyProtection="1">
      <alignment horizontal="center" vertical="center"/>
      <protection hidden="1"/>
    </xf>
    <xf numFmtId="0" fontId="26" fillId="48" borderId="117" xfId="0" applyFont="1" applyFill="1" applyBorder="1" applyAlignment="1" applyProtection="1">
      <alignment horizontal="center" vertical="center"/>
      <protection hidden="1"/>
    </xf>
    <xf numFmtId="0" fontId="16" fillId="36" borderId="118" xfId="0" applyFont="1" applyFill="1" applyBorder="1" applyAlignment="1" applyProtection="1">
      <alignment horizontal="center" vertical="center"/>
      <protection hidden="1"/>
    </xf>
    <xf numFmtId="0" fontId="0" fillId="0" borderId="0" xfId="0" applyFont="1" applyFill="1" applyBorder="1" applyAlignment="1" applyProtection="1" quotePrefix="1">
      <alignment horizontal="center"/>
      <protection hidden="1"/>
    </xf>
    <xf numFmtId="0" fontId="16" fillId="34" borderId="15" xfId="0" applyFont="1" applyFill="1" applyBorder="1" applyAlignment="1" applyProtection="1">
      <alignment horizontal="center" vertical="center"/>
      <protection hidden="1"/>
    </xf>
    <xf numFmtId="0" fontId="16" fillId="34" borderId="25" xfId="0" applyFont="1" applyFill="1" applyBorder="1" applyAlignment="1" applyProtection="1">
      <alignment horizontal="center" vertical="center"/>
      <protection hidden="1"/>
    </xf>
    <xf numFmtId="1" fontId="33" fillId="34" borderId="15" xfId="0" applyNumberFormat="1" applyFont="1" applyFill="1" applyBorder="1" applyAlignment="1" applyProtection="1">
      <alignment horizontal="center" vertical="center"/>
      <protection/>
    </xf>
    <xf numFmtId="0" fontId="16" fillId="36" borderId="119" xfId="0" applyFont="1" applyFill="1" applyBorder="1" applyAlignment="1" applyProtection="1">
      <alignment horizontal="center" vertical="center"/>
      <protection hidden="1"/>
    </xf>
    <xf numFmtId="0" fontId="26" fillId="48" borderId="120" xfId="0" applyFont="1" applyFill="1" applyBorder="1" applyAlignment="1" applyProtection="1">
      <alignment horizontal="center" vertical="center"/>
      <protection hidden="1"/>
    </xf>
    <xf numFmtId="0" fontId="26" fillId="48" borderId="119" xfId="0" applyFont="1" applyFill="1" applyBorder="1" applyAlignment="1" applyProtection="1">
      <alignment horizontal="center" vertical="center"/>
      <protection hidden="1"/>
    </xf>
    <xf numFmtId="0" fontId="0" fillId="64" borderId="86" xfId="0" applyFill="1" applyBorder="1" applyAlignment="1" applyProtection="1">
      <alignment horizontal="center"/>
      <protection/>
    </xf>
    <xf numFmtId="0" fontId="0" fillId="64" borderId="86" xfId="0" applyFill="1" applyBorder="1" applyAlignment="1" applyProtection="1">
      <alignment/>
      <protection/>
    </xf>
    <xf numFmtId="0" fontId="0" fillId="0" borderId="0" xfId="0" applyFont="1" applyAlignment="1">
      <alignment/>
    </xf>
    <xf numFmtId="0" fontId="0" fillId="47" borderId="0" xfId="0" applyFill="1" applyAlignment="1" applyProtection="1">
      <alignment/>
      <protection/>
    </xf>
    <xf numFmtId="1" fontId="16" fillId="33" borderId="15" xfId="0" applyNumberFormat="1" applyFont="1" applyFill="1" applyBorder="1" applyAlignment="1" applyProtection="1">
      <alignment horizontal="center" vertical="center"/>
      <protection hidden="1"/>
    </xf>
    <xf numFmtId="0" fontId="0" fillId="0" borderId="104" xfId="0" applyFill="1" applyBorder="1" applyAlignment="1" applyProtection="1">
      <alignment horizontal="center"/>
      <protection/>
    </xf>
    <xf numFmtId="1" fontId="0" fillId="0" borderId="104" xfId="0" applyNumberFormat="1" applyFill="1" applyBorder="1" applyAlignment="1" applyProtection="1">
      <alignment horizontal="center"/>
      <protection/>
    </xf>
    <xf numFmtId="0" fontId="0" fillId="0" borderId="104" xfId="0" applyBorder="1" applyAlignment="1" applyProtection="1">
      <alignment horizontal="center"/>
      <protection/>
    </xf>
    <xf numFmtId="0" fontId="0" fillId="0" borderId="104" xfId="0" applyBorder="1" applyAlignment="1" applyProtection="1">
      <alignment/>
      <protection/>
    </xf>
    <xf numFmtId="0" fontId="0" fillId="64" borderId="0" xfId="0" applyFill="1" applyBorder="1" applyAlignment="1" applyProtection="1">
      <alignment/>
      <protection/>
    </xf>
    <xf numFmtId="0" fontId="0" fillId="64" borderId="0" xfId="0" applyFill="1" applyBorder="1" applyAlignment="1" applyProtection="1">
      <alignment horizontal="center"/>
      <protection/>
    </xf>
    <xf numFmtId="1" fontId="16" fillId="33" borderId="121" xfId="0" applyNumberFormat="1" applyFont="1" applyFill="1" applyBorder="1" applyAlignment="1" applyProtection="1">
      <alignment horizontal="center" vertical="center"/>
      <protection hidden="1"/>
    </xf>
    <xf numFmtId="0" fontId="26" fillId="35" borderId="122" xfId="0" applyFont="1" applyFill="1" applyBorder="1" applyAlignment="1" applyProtection="1">
      <alignment horizontal="center" vertical="center"/>
      <protection hidden="1" locked="0"/>
    </xf>
    <xf numFmtId="0" fontId="26" fillId="48" borderId="79" xfId="0" applyFont="1" applyFill="1" applyBorder="1" applyAlignment="1" applyProtection="1">
      <alignment horizontal="center" vertical="center"/>
      <protection hidden="1" locked="0"/>
    </xf>
    <xf numFmtId="0" fontId="26" fillId="48" borderId="13" xfId="0" applyFont="1" applyFill="1" applyBorder="1" applyAlignment="1" applyProtection="1">
      <alignment horizontal="center" vertical="center"/>
      <protection hidden="1" locked="0"/>
    </xf>
    <xf numFmtId="0" fontId="26" fillId="48" borderId="82" xfId="0" applyFont="1" applyFill="1" applyBorder="1" applyAlignment="1" applyProtection="1">
      <alignment horizontal="center" vertical="center"/>
      <protection hidden="1" locked="0"/>
    </xf>
    <xf numFmtId="0" fontId="26" fillId="48" borderId="83" xfId="0" applyFont="1" applyFill="1" applyBorder="1" applyAlignment="1" applyProtection="1">
      <alignment horizontal="center" vertical="center"/>
      <protection hidden="1" locked="0"/>
    </xf>
    <xf numFmtId="0" fontId="26" fillId="35" borderId="64" xfId="0" applyFont="1" applyFill="1" applyBorder="1" applyAlignment="1" applyProtection="1">
      <alignment horizontal="center" vertical="center"/>
      <protection hidden="1" locked="0"/>
    </xf>
    <xf numFmtId="0" fontId="26" fillId="35" borderId="83" xfId="0" applyFont="1" applyFill="1" applyBorder="1" applyAlignment="1" applyProtection="1">
      <alignment horizontal="center" vertical="center"/>
      <protection hidden="1" locked="0"/>
    </xf>
    <xf numFmtId="0" fontId="26" fillId="35" borderId="14" xfId="0" applyFont="1" applyFill="1" applyBorder="1" applyAlignment="1" applyProtection="1">
      <alignment horizontal="center" vertical="center"/>
      <protection hidden="1" locked="0"/>
    </xf>
    <xf numFmtId="0" fontId="26" fillId="65" borderId="82" xfId="0" applyFont="1" applyFill="1" applyBorder="1" applyAlignment="1" applyProtection="1">
      <alignment horizontal="center" vertical="center"/>
      <protection hidden="1" locked="0"/>
    </xf>
    <xf numFmtId="0" fontId="26" fillId="65" borderId="83" xfId="0" applyFont="1" applyFill="1" applyBorder="1" applyAlignment="1" applyProtection="1">
      <alignment horizontal="center" vertical="center"/>
      <protection hidden="1" locked="0"/>
    </xf>
    <xf numFmtId="0" fontId="16" fillId="34" borderId="116" xfId="0" applyFont="1" applyFill="1" applyBorder="1" applyAlignment="1" applyProtection="1">
      <alignment horizontal="center" vertical="center"/>
      <protection hidden="1" locked="0"/>
    </xf>
    <xf numFmtId="0" fontId="16" fillId="34" borderId="123" xfId="0" applyFont="1" applyFill="1" applyBorder="1" applyAlignment="1" applyProtection="1">
      <alignment horizontal="center" vertical="center"/>
      <protection hidden="1" locked="0"/>
    </xf>
    <xf numFmtId="0" fontId="16" fillId="34" borderId="117" xfId="0" applyFont="1" applyFill="1" applyBorder="1" applyAlignment="1" applyProtection="1">
      <alignment horizontal="center" vertical="center"/>
      <protection hidden="1" locked="0"/>
    </xf>
    <xf numFmtId="0" fontId="16" fillId="34" borderId="100" xfId="0" applyFont="1" applyFill="1" applyBorder="1" applyAlignment="1" applyProtection="1">
      <alignment horizontal="center" vertical="center"/>
      <protection hidden="1" locked="0"/>
    </xf>
    <xf numFmtId="0" fontId="16" fillId="34" borderId="16" xfId="0" applyFont="1" applyFill="1" applyBorder="1" applyAlignment="1" applyProtection="1">
      <alignment horizontal="center" vertical="center"/>
      <protection hidden="1" locked="0"/>
    </xf>
    <xf numFmtId="0" fontId="16" fillId="34" borderId="14" xfId="0" applyFont="1" applyFill="1" applyBorder="1" applyAlignment="1" applyProtection="1">
      <alignment horizontal="center" vertical="center"/>
      <protection hidden="1" locked="0"/>
    </xf>
    <xf numFmtId="0" fontId="16" fillId="34" borderId="124" xfId="0" applyFont="1" applyFill="1" applyBorder="1" applyAlignment="1" applyProtection="1">
      <alignment horizontal="center" vertical="center"/>
      <protection hidden="1" locked="0"/>
    </xf>
    <xf numFmtId="0" fontId="16" fillId="34" borderId="125" xfId="0" applyFont="1" applyFill="1" applyBorder="1" applyAlignment="1" applyProtection="1">
      <alignment horizontal="center" vertical="center"/>
      <protection hidden="1" locked="0"/>
    </xf>
    <xf numFmtId="0" fontId="0" fillId="47" borderId="114" xfId="0" applyFill="1" applyBorder="1" applyAlignment="1" applyProtection="1">
      <alignment vertical="center"/>
      <protection locked="0"/>
    </xf>
    <xf numFmtId="0" fontId="0" fillId="34" borderId="49" xfId="0" applyFill="1" applyBorder="1" applyAlignment="1" applyProtection="1">
      <alignment horizontal="left" vertical="center"/>
      <protection locked="0"/>
    </xf>
    <xf numFmtId="0" fontId="44" fillId="35" borderId="12" xfId="0" applyFont="1" applyFill="1" applyBorder="1" applyAlignment="1" applyProtection="1">
      <alignment horizontal="center" vertical="center"/>
      <protection/>
    </xf>
    <xf numFmtId="0" fontId="44" fillId="35" borderId="102" xfId="0" applyFont="1" applyFill="1" applyBorder="1" applyAlignment="1" applyProtection="1">
      <alignment horizontal="center" vertical="center"/>
      <protection/>
    </xf>
    <xf numFmtId="0" fontId="44" fillId="35" borderId="14" xfId="0" applyFont="1" applyFill="1" applyBorder="1" applyAlignment="1" applyProtection="1">
      <alignment horizontal="center" vertical="center"/>
      <protection hidden="1"/>
    </xf>
    <xf numFmtId="0" fontId="44" fillId="35" borderId="81" xfId="0" applyFont="1" applyFill="1" applyBorder="1" applyAlignment="1" applyProtection="1">
      <alignment horizontal="center" vertical="center"/>
      <protection hidden="1"/>
    </xf>
    <xf numFmtId="0" fontId="44" fillId="35" borderId="64" xfId="0" applyFont="1" applyFill="1" applyBorder="1" applyAlignment="1" applyProtection="1">
      <alignment horizontal="center" vertical="center"/>
      <protection hidden="1"/>
    </xf>
    <xf numFmtId="0" fontId="44" fillId="35" borderId="67" xfId="0" applyFont="1" applyFill="1" applyBorder="1" applyAlignment="1" applyProtection="1">
      <alignment horizontal="center" vertical="center"/>
      <protection hidden="1"/>
    </xf>
    <xf numFmtId="0" fontId="44" fillId="35" borderId="122" xfId="0" applyFont="1" applyFill="1" applyBorder="1" applyAlignment="1" applyProtection="1">
      <alignment horizontal="center" vertical="center"/>
      <protection hidden="1"/>
    </xf>
    <xf numFmtId="0" fontId="44" fillId="35" borderId="12" xfId="0" applyFont="1" applyFill="1" applyBorder="1" applyAlignment="1" applyProtection="1">
      <alignment horizontal="center" vertical="center"/>
      <protection locked="0"/>
    </xf>
    <xf numFmtId="0" fontId="44" fillId="35" borderId="23" xfId="0" applyFont="1" applyFill="1" applyBorder="1" applyAlignment="1" applyProtection="1">
      <alignment horizontal="center" vertical="center"/>
      <protection locked="0"/>
    </xf>
    <xf numFmtId="0" fontId="44" fillId="35" borderId="126" xfId="0" applyFont="1" applyFill="1" applyBorder="1" applyAlignment="1" applyProtection="1">
      <alignment horizontal="center" vertical="center"/>
      <protection locked="0"/>
    </xf>
    <xf numFmtId="0" fontId="44" fillId="35" borderId="42" xfId="0" applyFont="1" applyFill="1" applyBorder="1" applyAlignment="1" applyProtection="1">
      <alignment horizontal="center" vertical="center"/>
      <protection locked="0"/>
    </xf>
    <xf numFmtId="0" fontId="44" fillId="35" borderId="45" xfId="0" applyFont="1" applyFill="1" applyBorder="1" applyAlignment="1" applyProtection="1">
      <alignment horizontal="center" vertical="center"/>
      <protection locked="0"/>
    </xf>
    <xf numFmtId="0" fontId="19" fillId="33" borderId="0" xfId="48" applyNumberFormat="1" applyFont="1" applyFill="1" applyBorder="1" applyAlignment="1" applyProtection="1">
      <alignment horizontal="left" vertical="center" wrapText="1"/>
      <protection/>
    </xf>
    <xf numFmtId="0" fontId="0" fillId="39" borderId="120" xfId="0" applyFill="1" applyBorder="1" applyAlignment="1" applyProtection="1">
      <alignment horizontal="center"/>
      <protection hidden="1"/>
    </xf>
    <xf numFmtId="0" fontId="44" fillId="48" borderId="79" xfId="0" applyFont="1" applyFill="1" applyBorder="1" applyAlignment="1" applyProtection="1">
      <alignment horizontal="center" vertical="center"/>
      <protection hidden="1"/>
    </xf>
    <xf numFmtId="0" fontId="44" fillId="48" borderId="80" xfId="0" applyFont="1" applyFill="1" applyBorder="1" applyAlignment="1" applyProtection="1">
      <alignment horizontal="center" vertical="center"/>
      <protection hidden="1"/>
    </xf>
    <xf numFmtId="1" fontId="33" fillId="66" borderId="100" xfId="0" applyNumberFormat="1" applyFont="1" applyFill="1" applyBorder="1" applyAlignment="1" applyProtection="1">
      <alignment horizontal="center" vertical="center"/>
      <protection locked="0"/>
    </xf>
    <xf numFmtId="1" fontId="33" fillId="66" borderId="42" xfId="0" applyNumberFormat="1" applyFont="1" applyFill="1" applyBorder="1" applyAlignment="1" applyProtection="1">
      <alignment horizontal="center" vertical="center"/>
      <protection locked="0"/>
    </xf>
    <xf numFmtId="1" fontId="33" fillId="66" borderId="14" xfId="0" applyNumberFormat="1" applyFont="1" applyFill="1" applyBorder="1" applyAlignment="1" applyProtection="1">
      <alignment horizontal="center" vertical="center"/>
      <protection locked="0"/>
    </xf>
    <xf numFmtId="1" fontId="33" fillId="66" borderId="80" xfId="0" applyNumberFormat="1" applyFont="1" applyFill="1" applyBorder="1" applyAlignment="1" applyProtection="1">
      <alignment horizontal="center" vertical="center"/>
      <protection locked="0"/>
    </xf>
    <xf numFmtId="1" fontId="33" fillId="66" borderId="102" xfId="0" applyNumberFormat="1" applyFont="1" applyFill="1" applyBorder="1" applyAlignment="1" applyProtection="1">
      <alignment horizontal="center" vertical="center"/>
      <protection locked="0"/>
    </xf>
    <xf numFmtId="1" fontId="33" fillId="66" borderId="81" xfId="0" applyNumberFormat="1" applyFont="1" applyFill="1" applyBorder="1" applyAlignment="1" applyProtection="1">
      <alignment horizontal="center" vertical="center"/>
      <protection locked="0"/>
    </xf>
    <xf numFmtId="1" fontId="33" fillId="66" borderId="12" xfId="0" applyNumberFormat="1" applyFont="1" applyFill="1" applyBorder="1" applyAlignment="1" applyProtection="1">
      <alignment horizontal="center" vertical="center"/>
      <protection locked="0"/>
    </xf>
    <xf numFmtId="1" fontId="33" fillId="66" borderId="13" xfId="0" applyNumberFormat="1" applyFont="1" applyFill="1" applyBorder="1" applyAlignment="1" applyProtection="1">
      <alignment horizontal="center" vertical="center"/>
      <protection locked="0"/>
    </xf>
    <xf numFmtId="1" fontId="33" fillId="67" borderId="100" xfId="0" applyNumberFormat="1" applyFont="1" applyFill="1" applyBorder="1" applyAlignment="1" applyProtection="1">
      <alignment horizontal="center" vertical="center"/>
      <protection locked="0"/>
    </xf>
    <xf numFmtId="1" fontId="33" fillId="67" borderId="42" xfId="0" applyNumberFormat="1" applyFont="1" applyFill="1" applyBorder="1" applyAlignment="1" applyProtection="1">
      <alignment horizontal="center" vertical="center"/>
      <protection locked="0"/>
    </xf>
    <xf numFmtId="1" fontId="33" fillId="67" borderId="14" xfId="0" applyNumberFormat="1" applyFont="1" applyFill="1" applyBorder="1" applyAlignment="1" applyProtection="1">
      <alignment horizontal="center" vertical="center"/>
      <protection locked="0"/>
    </xf>
    <xf numFmtId="1" fontId="33" fillId="67" borderId="12" xfId="0" applyNumberFormat="1" applyFont="1" applyFill="1" applyBorder="1" applyAlignment="1" applyProtection="1">
      <alignment horizontal="center" vertical="center"/>
      <protection locked="0"/>
    </xf>
    <xf numFmtId="1" fontId="33" fillId="67" borderId="120" xfId="0" applyNumberFormat="1" applyFont="1" applyFill="1" applyBorder="1" applyAlignment="1" applyProtection="1">
      <alignment horizontal="center" vertical="center"/>
      <protection locked="0"/>
    </xf>
    <xf numFmtId="1" fontId="33" fillId="67" borderId="127" xfId="0" applyNumberFormat="1" applyFont="1" applyFill="1" applyBorder="1" applyAlignment="1" applyProtection="1">
      <alignment horizontal="center" vertical="center"/>
      <protection locked="0"/>
    </xf>
    <xf numFmtId="1" fontId="33" fillId="67" borderId="119" xfId="0" applyNumberFormat="1" applyFont="1" applyFill="1" applyBorder="1" applyAlignment="1" applyProtection="1">
      <alignment horizontal="center" vertical="center"/>
      <protection locked="0"/>
    </xf>
    <xf numFmtId="0" fontId="16" fillId="33" borderId="128" xfId="0" applyFont="1" applyFill="1" applyBorder="1" applyAlignment="1" applyProtection="1">
      <alignment horizontal="center" vertical="center"/>
      <protection hidden="1"/>
    </xf>
    <xf numFmtId="0" fontId="0" fillId="64" borderId="0" xfId="0" applyFill="1" applyAlignment="1" applyProtection="1">
      <alignment horizontal="center"/>
      <protection/>
    </xf>
    <xf numFmtId="1" fontId="0" fillId="64" borderId="86" xfId="0" applyNumberFormat="1" applyFont="1" applyFill="1" applyBorder="1" applyAlignment="1" applyProtection="1">
      <alignment horizontal="center"/>
      <protection/>
    </xf>
    <xf numFmtId="0" fontId="0" fillId="0" borderId="0" xfId="0" applyFill="1" applyBorder="1" applyAlignment="1">
      <alignment horizontal="right"/>
    </xf>
    <xf numFmtId="0" fontId="0" fillId="0" borderId="0" xfId="0" applyFill="1" applyBorder="1" applyAlignment="1">
      <alignment horizontal="left"/>
    </xf>
    <xf numFmtId="0" fontId="0" fillId="0" borderId="0" xfId="0" applyFill="1" applyBorder="1" applyAlignment="1">
      <alignment/>
    </xf>
    <xf numFmtId="0" fontId="0" fillId="47" borderId="0" xfId="0" applyFill="1" applyBorder="1" applyAlignment="1">
      <alignment horizontal="center"/>
    </xf>
    <xf numFmtId="1" fontId="0" fillId="47" borderId="0" xfId="0" applyNumberFormat="1" applyFill="1" applyBorder="1" applyAlignment="1">
      <alignment horizontal="center"/>
    </xf>
    <xf numFmtId="1" fontId="0" fillId="47" borderId="86" xfId="0" applyNumberFormat="1" applyFill="1" applyBorder="1" applyAlignment="1">
      <alignment horizontal="center"/>
    </xf>
    <xf numFmtId="1" fontId="0" fillId="47" borderId="129" xfId="0" applyNumberFormat="1" applyFill="1" applyBorder="1" applyAlignment="1">
      <alignment horizontal="center"/>
    </xf>
    <xf numFmtId="1" fontId="0" fillId="47" borderId="130" xfId="0" applyNumberFormat="1" applyFill="1" applyBorder="1" applyAlignment="1">
      <alignment horizontal="center"/>
    </xf>
    <xf numFmtId="1" fontId="0" fillId="47" borderId="131" xfId="0" applyNumberFormat="1" applyFill="1" applyBorder="1" applyAlignment="1">
      <alignment horizontal="center"/>
    </xf>
    <xf numFmtId="1" fontId="0" fillId="47" borderId="132" xfId="0" applyNumberFormat="1" applyFill="1" applyBorder="1" applyAlignment="1">
      <alignment horizontal="center"/>
    </xf>
    <xf numFmtId="0" fontId="0" fillId="64" borderId="0" xfId="0" applyFill="1" applyBorder="1" applyAlignment="1">
      <alignment horizontal="center"/>
    </xf>
    <xf numFmtId="1" fontId="33" fillId="0" borderId="0" xfId="0" applyNumberFormat="1" applyFont="1" applyFill="1" applyBorder="1" applyAlignment="1" applyProtection="1">
      <alignment horizontal="center" vertical="center"/>
      <protection/>
    </xf>
    <xf numFmtId="1" fontId="33" fillId="67" borderId="13" xfId="0" applyNumberFormat="1" applyFont="1" applyFill="1" applyBorder="1" applyAlignment="1" applyProtection="1">
      <alignment horizontal="center" vertical="center"/>
      <protection locked="0"/>
    </xf>
    <xf numFmtId="1" fontId="0" fillId="47" borderId="133" xfId="0" applyNumberFormat="1" applyFill="1" applyBorder="1" applyAlignment="1">
      <alignment horizontal="center"/>
    </xf>
    <xf numFmtId="1" fontId="0" fillId="47" borderId="104" xfId="0" applyNumberFormat="1" applyFill="1" applyBorder="1" applyAlignment="1">
      <alignment horizontal="center"/>
    </xf>
    <xf numFmtId="1" fontId="0" fillId="47" borderId="134" xfId="0" applyNumberFormat="1" applyFill="1" applyBorder="1" applyAlignment="1">
      <alignment horizontal="center"/>
    </xf>
    <xf numFmtId="0" fontId="0" fillId="0" borderId="0" xfId="0" applyBorder="1" applyAlignment="1">
      <alignment horizontal="center"/>
    </xf>
    <xf numFmtId="1" fontId="0" fillId="0" borderId="0" xfId="0" applyNumberFormat="1" applyFill="1" applyBorder="1" applyAlignment="1">
      <alignment horizontal="center"/>
    </xf>
    <xf numFmtId="0" fontId="0" fillId="0" borderId="86" xfId="0" applyBorder="1" applyAlignment="1">
      <alignment horizontal="center"/>
    </xf>
    <xf numFmtId="0" fontId="76" fillId="0" borderId="0" xfId="0" applyFont="1" applyFill="1" applyBorder="1" applyAlignment="1" applyProtection="1">
      <alignment horizontal="center" vertical="center"/>
      <protection/>
    </xf>
    <xf numFmtId="0" fontId="16" fillId="0" borderId="0" xfId="0" applyFont="1" applyFill="1" applyBorder="1" applyAlignment="1" applyProtection="1">
      <alignment horizontal="center" vertical="center"/>
      <protection hidden="1"/>
    </xf>
    <xf numFmtId="0" fontId="0" fillId="0" borderId="0" xfId="0" applyNumberFormat="1" applyFill="1" applyBorder="1" applyAlignment="1">
      <alignment horizontal="center"/>
    </xf>
    <xf numFmtId="0" fontId="33" fillId="0" borderId="0" xfId="0" applyFont="1" applyFill="1" applyBorder="1" applyAlignment="1" applyProtection="1">
      <alignment horizontal="center" vertical="center"/>
      <protection/>
    </xf>
    <xf numFmtId="1" fontId="16" fillId="0" borderId="0" xfId="0" applyNumberFormat="1" applyFont="1" applyFill="1" applyBorder="1" applyAlignment="1" applyProtection="1">
      <alignment horizontal="center" vertical="center"/>
      <protection hidden="1"/>
    </xf>
    <xf numFmtId="2" fontId="0" fillId="0" borderId="0" xfId="0" applyNumberFormat="1" applyFill="1" applyBorder="1" applyAlignment="1">
      <alignment horizontal="center"/>
    </xf>
    <xf numFmtId="1" fontId="0" fillId="0" borderId="0" xfId="0" applyNumberFormat="1" applyFont="1" applyFill="1" applyBorder="1" applyAlignment="1" applyProtection="1">
      <alignment horizontal="center"/>
      <protection/>
    </xf>
    <xf numFmtId="1" fontId="0" fillId="0" borderId="0" xfId="0" applyNumberFormat="1" applyFill="1" applyAlignment="1">
      <alignment horizontal="center"/>
    </xf>
    <xf numFmtId="0" fontId="0" fillId="0" borderId="0" xfId="0" applyFill="1" applyBorder="1" applyAlignment="1">
      <alignment/>
    </xf>
    <xf numFmtId="0" fontId="0" fillId="68" borderId="0" xfId="0" applyFill="1" applyAlignment="1">
      <alignment/>
    </xf>
    <xf numFmtId="0" fontId="0" fillId="68" borderId="0" xfId="0" applyFill="1" applyAlignment="1" applyProtection="1">
      <alignment/>
      <protection/>
    </xf>
    <xf numFmtId="2" fontId="0" fillId="0" borderId="0" xfId="0" applyNumberFormat="1" applyAlignment="1">
      <alignment/>
    </xf>
    <xf numFmtId="0" fontId="25" fillId="0" borderId="135" xfId="0" applyFont="1" applyBorder="1" applyAlignment="1">
      <alignment vertical="center"/>
    </xf>
    <xf numFmtId="0" fontId="0" fillId="0" borderId="136" xfId="0" applyBorder="1" applyAlignment="1">
      <alignment/>
    </xf>
    <xf numFmtId="0" fontId="44" fillId="0" borderId="129" xfId="0" applyFont="1" applyBorder="1" applyAlignment="1">
      <alignment vertical="center"/>
    </xf>
    <xf numFmtId="0" fontId="0" fillId="0" borderId="130" xfId="0" applyBorder="1" applyAlignment="1">
      <alignment/>
    </xf>
    <xf numFmtId="0" fontId="0" fillId="0" borderId="131" xfId="0" applyBorder="1" applyAlignment="1">
      <alignment vertical="center"/>
    </xf>
    <xf numFmtId="0" fontId="0" fillId="0" borderId="132" xfId="0" applyBorder="1" applyAlignment="1">
      <alignment/>
    </xf>
    <xf numFmtId="0" fontId="0" fillId="0" borderId="131" xfId="0" applyBorder="1" applyAlignment="1">
      <alignment/>
    </xf>
    <xf numFmtId="0" fontId="44" fillId="0" borderId="137" xfId="0" applyFont="1" applyBorder="1" applyAlignment="1">
      <alignment vertical="center"/>
    </xf>
    <xf numFmtId="0" fontId="0" fillId="0" borderId="138" xfId="0" applyBorder="1" applyAlignment="1">
      <alignment/>
    </xf>
    <xf numFmtId="0" fontId="0" fillId="0" borderId="139" xfId="0" applyBorder="1" applyAlignment="1">
      <alignment vertical="center"/>
    </xf>
    <xf numFmtId="0" fontId="0" fillId="0" borderId="140" xfId="0" applyBorder="1" applyAlignment="1">
      <alignment/>
    </xf>
    <xf numFmtId="0" fontId="0" fillId="0" borderId="141" xfId="0" applyBorder="1" applyAlignment="1">
      <alignment vertical="center"/>
    </xf>
    <xf numFmtId="0" fontId="0" fillId="0" borderId="142" xfId="0" applyBorder="1" applyAlignment="1">
      <alignment/>
    </xf>
    <xf numFmtId="0" fontId="44" fillId="0" borderId="86" xfId="0" applyFont="1" applyBorder="1" applyAlignment="1">
      <alignment/>
    </xf>
    <xf numFmtId="0" fontId="44" fillId="0" borderId="132" xfId="0" applyFont="1" applyBorder="1" applyAlignment="1">
      <alignment vertical="top" wrapText="1"/>
    </xf>
    <xf numFmtId="0" fontId="0" fillId="0" borderId="28" xfId="0" applyFont="1" applyBorder="1" applyAlignment="1">
      <alignment horizontal="right" vertical="top"/>
    </xf>
    <xf numFmtId="0" fontId="0" fillId="0" borderId="0" xfId="0" applyBorder="1" applyAlignment="1">
      <alignment horizontal="right"/>
    </xf>
    <xf numFmtId="0" fontId="0" fillId="0" borderId="86" xfId="0" applyBorder="1" applyAlignment="1">
      <alignment horizontal="right"/>
    </xf>
    <xf numFmtId="0" fontId="44" fillId="0" borderId="143" xfId="0" applyFont="1" applyBorder="1" applyAlignment="1">
      <alignment horizontal="right"/>
    </xf>
    <xf numFmtId="0" fontId="26" fillId="48" borderId="27" xfId="0" applyFont="1" applyFill="1" applyBorder="1" applyAlignment="1" applyProtection="1">
      <alignment horizontal="center" vertical="center"/>
      <protection hidden="1"/>
    </xf>
    <xf numFmtId="0" fontId="26" fillId="48" borderId="64" xfId="0" applyFont="1" applyFill="1" applyBorder="1" applyAlignment="1" applyProtection="1">
      <alignment horizontal="center" vertical="center"/>
      <protection hidden="1"/>
    </xf>
    <xf numFmtId="0" fontId="44" fillId="35" borderId="144" xfId="0" applyFont="1" applyFill="1" applyBorder="1" applyAlignment="1" applyProtection="1">
      <alignment horizontal="center" vertical="center"/>
      <protection hidden="1"/>
    </xf>
    <xf numFmtId="0" fontId="0" fillId="68" borderId="0" xfId="0" applyFont="1" applyFill="1" applyAlignment="1" applyProtection="1">
      <alignment/>
      <protection hidden="1"/>
    </xf>
    <xf numFmtId="0" fontId="0" fillId="68" borderId="0" xfId="0" applyFont="1" applyFill="1" applyAlignment="1" applyProtection="1">
      <alignment wrapText="1"/>
      <protection hidden="1"/>
    </xf>
    <xf numFmtId="0" fontId="0" fillId="68" borderId="0" xfId="0" applyFill="1" applyAlignment="1" applyProtection="1">
      <alignment horizontal="right"/>
      <protection/>
    </xf>
    <xf numFmtId="0" fontId="0" fillId="68" borderId="0" xfId="0" applyFill="1" applyAlignment="1" applyProtection="1">
      <alignment horizontal="left"/>
      <protection/>
    </xf>
    <xf numFmtId="0" fontId="0" fillId="68" borderId="0" xfId="0" applyFill="1" applyAlignment="1" applyProtection="1">
      <alignment/>
      <protection hidden="1"/>
    </xf>
    <xf numFmtId="0" fontId="0" fillId="68" borderId="0" xfId="0" applyFill="1" applyAlignment="1" applyProtection="1">
      <alignment wrapText="1"/>
      <protection/>
    </xf>
    <xf numFmtId="0" fontId="23" fillId="68" borderId="0" xfId="0" applyFont="1" applyFill="1" applyAlignment="1" applyProtection="1">
      <alignment wrapText="1"/>
      <protection/>
    </xf>
    <xf numFmtId="0" fontId="0" fillId="68" borderId="0" xfId="0" applyFont="1" applyFill="1" applyAlignment="1" applyProtection="1">
      <alignment horizontal="center"/>
      <protection/>
    </xf>
    <xf numFmtId="0" fontId="25" fillId="68" borderId="0" xfId="0" applyFont="1" applyFill="1" applyAlignment="1" applyProtection="1">
      <alignment wrapText="1"/>
      <protection/>
    </xf>
    <xf numFmtId="0" fontId="0" fillId="68" borderId="0" xfId="0" applyFill="1" applyAlignment="1" applyProtection="1">
      <alignment/>
      <protection/>
    </xf>
    <xf numFmtId="0" fontId="0" fillId="68" borderId="0" xfId="0" applyFill="1" applyAlignment="1" applyProtection="1">
      <alignment horizontal="center"/>
      <protection/>
    </xf>
    <xf numFmtId="0" fontId="0" fillId="68" borderId="0" xfId="0" applyFill="1" applyAlignment="1" applyProtection="1">
      <alignment horizontal="left"/>
      <protection hidden="1"/>
    </xf>
    <xf numFmtId="1" fontId="0" fillId="0" borderId="0" xfId="0" applyNumberFormat="1" applyFont="1" applyFill="1" applyAlignment="1" applyProtection="1">
      <alignment horizontal="center"/>
      <protection/>
    </xf>
    <xf numFmtId="0" fontId="0" fillId="68" borderId="0" xfId="0" applyFont="1" applyFill="1" applyAlignment="1" applyProtection="1">
      <alignment horizontal="center"/>
      <protection hidden="1"/>
    </xf>
    <xf numFmtId="0" fontId="0" fillId="68" borderId="0" xfId="0" applyFont="1" applyFill="1" applyAlignment="1" applyProtection="1">
      <alignment horizontal="center"/>
      <protection/>
    </xf>
    <xf numFmtId="0" fontId="0" fillId="0" borderId="0" xfId="0" applyFill="1" applyAlignment="1" applyProtection="1">
      <alignment horizontal="left"/>
      <protection hidden="1"/>
    </xf>
    <xf numFmtId="0" fontId="0" fillId="0" borderId="0" xfId="0" applyFont="1" applyFill="1" applyAlignment="1" applyProtection="1">
      <alignment horizontal="center"/>
      <protection hidden="1"/>
    </xf>
    <xf numFmtId="0" fontId="0" fillId="64" borderId="104" xfId="0" applyFill="1" applyBorder="1" applyAlignment="1" applyProtection="1">
      <alignment horizontal="center"/>
      <protection/>
    </xf>
    <xf numFmtId="0" fontId="0" fillId="64" borderId="0" xfId="0" applyFont="1" applyFill="1" applyAlignment="1" applyProtection="1">
      <alignment horizontal="center"/>
      <protection/>
    </xf>
    <xf numFmtId="0" fontId="24" fillId="0" borderId="0" xfId="0" applyFont="1" applyFill="1" applyBorder="1" applyAlignment="1" applyProtection="1">
      <alignment horizontal="center" vertical="top" wrapText="1"/>
      <protection/>
    </xf>
    <xf numFmtId="0" fontId="0" fillId="46" borderId="0" xfId="0" applyFill="1" applyAlignment="1" applyProtection="1">
      <alignment horizontal="center"/>
      <protection/>
    </xf>
    <xf numFmtId="0" fontId="0" fillId="46" borderId="0" xfId="0" applyFont="1" applyFill="1" applyAlignment="1" applyProtection="1">
      <alignment horizontal="center"/>
      <protection/>
    </xf>
    <xf numFmtId="1" fontId="0" fillId="49" borderId="86" xfId="0" applyNumberFormat="1" applyFont="1" applyFill="1" applyBorder="1" applyAlignment="1" applyProtection="1">
      <alignment horizontal="center"/>
      <protection/>
    </xf>
    <xf numFmtId="0" fontId="13" fillId="69" borderId="86" xfId="0" applyFont="1" applyFill="1" applyBorder="1" applyAlignment="1" applyProtection="1">
      <alignment horizontal="center"/>
      <protection/>
    </xf>
    <xf numFmtId="0" fontId="0" fillId="0" borderId="0" xfId="0" applyFill="1" applyBorder="1" applyAlignment="1" applyProtection="1">
      <alignment wrapText="1"/>
      <protection/>
    </xf>
    <xf numFmtId="0" fontId="13" fillId="0" borderId="0" xfId="0" applyFont="1" applyAlignment="1" applyProtection="1">
      <alignment wrapText="1"/>
      <protection/>
    </xf>
    <xf numFmtId="0" fontId="46" fillId="0" borderId="0" xfId="0" applyFont="1" applyBorder="1" applyAlignment="1" applyProtection="1">
      <alignment vertical="top" wrapText="1"/>
      <protection/>
    </xf>
    <xf numFmtId="0" fontId="0" fillId="46" borderId="86" xfId="0" applyFont="1" applyFill="1" applyBorder="1" applyAlignment="1" applyProtection="1">
      <alignment horizontal="center"/>
      <protection/>
    </xf>
    <xf numFmtId="0" fontId="0" fillId="0" borderId="104" xfId="0" applyFont="1" applyFill="1" applyBorder="1" applyAlignment="1" applyProtection="1">
      <alignment horizontal="center"/>
      <protection/>
    </xf>
    <xf numFmtId="0" fontId="0" fillId="0" borderId="0" xfId="0" applyFont="1" applyFill="1" applyBorder="1" applyAlignment="1" applyProtection="1">
      <alignment horizontal="left" wrapText="1"/>
      <protection/>
    </xf>
    <xf numFmtId="0" fontId="0" fillId="0" borderId="0" xfId="0" applyFill="1" applyBorder="1" applyAlignment="1" applyProtection="1">
      <alignment horizontal="center" wrapText="1"/>
      <protection/>
    </xf>
    <xf numFmtId="0" fontId="31" fillId="0" borderId="0" xfId="0" applyFont="1" applyFill="1" applyBorder="1" applyAlignment="1" applyProtection="1">
      <alignment horizontal="center" vertical="center"/>
      <protection/>
    </xf>
    <xf numFmtId="0" fontId="25" fillId="0" borderId="0" xfId="0" applyFont="1" applyFill="1" applyBorder="1" applyAlignment="1" applyProtection="1">
      <alignment horizontal="center" vertical="center" wrapText="1"/>
      <protection/>
    </xf>
    <xf numFmtId="1" fontId="33" fillId="0" borderId="0" xfId="0"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center" vertical="center"/>
      <protection hidden="1"/>
    </xf>
    <xf numFmtId="0" fontId="0" fillId="0" borderId="0" xfId="0" applyFill="1" applyBorder="1" applyAlignment="1" applyProtection="1">
      <alignment horizontal="left"/>
      <protection/>
    </xf>
    <xf numFmtId="0" fontId="0" fillId="0" borderId="0" xfId="0" applyFont="1" applyFill="1" applyBorder="1" applyAlignment="1" applyProtection="1">
      <alignment wrapText="1"/>
      <protection/>
    </xf>
    <xf numFmtId="0" fontId="23" fillId="0" borderId="0" xfId="0" applyFont="1" applyFill="1" applyBorder="1" applyAlignment="1" applyProtection="1">
      <alignment wrapText="1"/>
      <protection/>
    </xf>
    <xf numFmtId="176" fontId="0" fillId="0" borderId="0" xfId="0" applyNumberFormat="1" applyFill="1" applyBorder="1" applyAlignment="1" applyProtection="1">
      <alignment horizontal="center"/>
      <protection/>
    </xf>
    <xf numFmtId="0" fontId="0" fillId="0" borderId="0" xfId="0" applyFill="1" applyBorder="1" applyAlignment="1" applyProtection="1">
      <alignment/>
      <protection hidden="1"/>
    </xf>
    <xf numFmtId="0" fontId="0" fillId="0" borderId="0" xfId="0" applyFont="1" applyFill="1" applyBorder="1" applyAlignment="1" applyProtection="1">
      <alignment/>
      <protection hidden="1"/>
    </xf>
    <xf numFmtId="0" fontId="0" fillId="0" borderId="0" xfId="0" applyFont="1" applyFill="1" applyBorder="1" applyAlignment="1" applyProtection="1">
      <alignment wrapText="1"/>
      <protection hidden="1"/>
    </xf>
    <xf numFmtId="0" fontId="22" fillId="0" borderId="0" xfId="0" applyFont="1" applyFill="1" applyBorder="1" applyAlignment="1" applyProtection="1">
      <alignment vertical="top" wrapText="1"/>
      <protection hidden="1"/>
    </xf>
    <xf numFmtId="0" fontId="74" fillId="0" borderId="0" xfId="0" applyFont="1" applyFill="1" applyBorder="1" applyAlignment="1" applyProtection="1">
      <alignment wrapText="1"/>
      <protection hidden="1"/>
    </xf>
    <xf numFmtId="0" fontId="74" fillId="0" borderId="0" xfId="0" applyFont="1" applyFill="1" applyBorder="1" applyAlignment="1" applyProtection="1">
      <alignment vertical="top" wrapText="1"/>
      <protection hidden="1"/>
    </xf>
    <xf numFmtId="0" fontId="25" fillId="0" borderId="0" xfId="0" applyFont="1" applyFill="1" applyBorder="1" applyAlignment="1" applyProtection="1">
      <alignment horizontal="right"/>
      <protection/>
    </xf>
    <xf numFmtId="14" fontId="25" fillId="0" borderId="0" xfId="0" applyNumberFormat="1" applyFont="1" applyFill="1" applyBorder="1" applyAlignment="1" applyProtection="1">
      <alignment horizontal="center"/>
      <protection hidden="1"/>
    </xf>
    <xf numFmtId="0" fontId="68" fillId="0" borderId="0" xfId="0" applyFont="1" applyFill="1" applyBorder="1" applyAlignment="1" applyProtection="1">
      <alignment vertical="top" wrapText="1"/>
      <protection/>
    </xf>
    <xf numFmtId="0" fontId="13" fillId="0" borderId="0" xfId="0" applyFont="1" applyFill="1" applyBorder="1" applyAlignment="1" applyProtection="1">
      <alignment horizontal="center"/>
      <protection/>
    </xf>
    <xf numFmtId="0" fontId="13" fillId="0" borderId="0" xfId="0" applyFont="1" applyFill="1" applyBorder="1" applyAlignment="1" applyProtection="1">
      <alignment/>
      <protection/>
    </xf>
    <xf numFmtId="0" fontId="0" fillId="0" borderId="0" xfId="0" applyFill="1" applyBorder="1" applyAlignment="1" applyProtection="1">
      <alignment/>
      <protection/>
    </xf>
    <xf numFmtId="0" fontId="26" fillId="0" borderId="0"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wrapText="1"/>
      <protection/>
    </xf>
    <xf numFmtId="0" fontId="25" fillId="0" borderId="0" xfId="0" applyFont="1" applyFill="1" applyBorder="1" applyAlignment="1" applyProtection="1">
      <alignment horizontal="center" vertical="center"/>
      <protection/>
    </xf>
    <xf numFmtId="0" fontId="17" fillId="0" borderId="0" xfId="0" applyFont="1" applyFill="1" applyBorder="1" applyAlignment="1" applyProtection="1">
      <alignment/>
      <protection hidden="1"/>
    </xf>
    <xf numFmtId="0" fontId="25" fillId="0" borderId="0" xfId="0" applyFont="1" applyFill="1" applyBorder="1" applyAlignment="1" applyProtection="1">
      <alignment vertical="center"/>
      <protection/>
    </xf>
    <xf numFmtId="49" fontId="25" fillId="0" borderId="0" xfId="0" applyNumberFormat="1" applyFont="1" applyFill="1" applyBorder="1" applyAlignment="1" applyProtection="1">
      <alignment horizontal="center" vertical="center"/>
      <protection/>
    </xf>
    <xf numFmtId="0" fontId="26" fillId="0" borderId="0" xfId="0"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center"/>
      <protection hidden="1" locked="0"/>
    </xf>
    <xf numFmtId="1" fontId="33" fillId="0" borderId="0"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protection hidden="1" locked="0"/>
    </xf>
    <xf numFmtId="0" fontId="0" fillId="0" borderId="0" xfId="0" applyFill="1" applyBorder="1" applyAlignment="1" applyProtection="1">
      <alignment vertical="center" wrapText="1"/>
      <protection/>
    </xf>
    <xf numFmtId="0" fontId="34" fillId="0" borderId="0" xfId="0" applyFont="1" applyFill="1" applyBorder="1" applyAlignment="1" applyProtection="1">
      <alignment wrapText="1"/>
      <protection hidden="1"/>
    </xf>
    <xf numFmtId="0" fontId="32" fillId="0" borderId="0" xfId="0" applyFont="1" applyFill="1" applyBorder="1" applyAlignment="1" applyProtection="1">
      <alignment horizontal="center" vertical="center"/>
      <protection hidden="1"/>
    </xf>
    <xf numFmtId="0" fontId="26" fillId="0" borderId="0" xfId="0" applyFont="1" applyFill="1" applyBorder="1" applyAlignment="1" applyProtection="1">
      <alignment horizontal="center" vertical="center"/>
      <protection hidden="1"/>
    </xf>
    <xf numFmtId="0" fontId="35" fillId="0" borderId="0" xfId="0" applyFont="1" applyFill="1" applyBorder="1" applyAlignment="1" applyProtection="1">
      <alignment horizontal="center" vertical="center"/>
      <protection/>
    </xf>
    <xf numFmtId="0" fontId="16" fillId="0" borderId="0" xfId="0" applyFont="1" applyFill="1" applyBorder="1" applyAlignment="1" applyProtection="1">
      <alignment horizontal="center" vertical="center"/>
      <protection locked="0"/>
    </xf>
    <xf numFmtId="0" fontId="36" fillId="0" borderId="0" xfId="0" applyFont="1" applyFill="1" applyBorder="1" applyAlignment="1" applyProtection="1">
      <alignment vertical="center" wrapText="1"/>
      <protection hidden="1"/>
    </xf>
    <xf numFmtId="0" fontId="33" fillId="0" borderId="0" xfId="0" applyFont="1" applyFill="1" applyBorder="1" applyAlignment="1" applyProtection="1">
      <alignment horizontal="center" vertical="center"/>
      <protection locked="0"/>
    </xf>
    <xf numFmtId="2" fontId="16" fillId="0" borderId="0" xfId="0" applyNumberFormat="1" applyFont="1" applyFill="1" applyBorder="1" applyAlignment="1" applyProtection="1">
      <alignment horizontal="left" vertical="center" wrapText="1"/>
      <protection hidden="1"/>
    </xf>
    <xf numFmtId="0" fontId="44" fillId="0" borderId="0" xfId="0" applyFont="1" applyFill="1" applyBorder="1" applyAlignment="1" applyProtection="1">
      <alignment horizontal="left"/>
      <protection/>
    </xf>
    <xf numFmtId="1" fontId="46" fillId="0" borderId="0" xfId="0" applyNumberFormat="1" applyFont="1" applyFill="1" applyBorder="1" applyAlignment="1" applyProtection="1">
      <alignment horizontal="center" vertical="center" wrapText="1"/>
      <protection hidden="1"/>
    </xf>
    <xf numFmtId="1" fontId="46" fillId="0" borderId="0" xfId="0" applyNumberFormat="1" applyFont="1" applyFill="1" applyBorder="1" applyAlignment="1" applyProtection="1">
      <alignment horizontal="center" wrapText="1"/>
      <protection hidden="1"/>
    </xf>
    <xf numFmtId="0" fontId="36" fillId="0" borderId="0" xfId="0" applyFont="1" applyFill="1" applyBorder="1" applyAlignment="1" applyProtection="1">
      <alignment vertical="center" wrapText="1"/>
      <protection/>
    </xf>
    <xf numFmtId="0" fontId="37" fillId="0" borderId="0" xfId="0" applyFont="1" applyFill="1" applyBorder="1" applyAlignment="1" applyProtection="1">
      <alignment vertical="top" wrapText="1"/>
      <protection hidden="1"/>
    </xf>
    <xf numFmtId="0" fontId="38" fillId="0" borderId="0" xfId="0" applyFont="1" applyFill="1" applyBorder="1" applyAlignment="1" applyProtection="1">
      <alignment vertical="center" wrapText="1"/>
      <protection hidden="1"/>
    </xf>
    <xf numFmtId="1" fontId="16" fillId="0" borderId="0" xfId="0" applyNumberFormat="1" applyFont="1" applyFill="1" applyBorder="1" applyAlignment="1" applyProtection="1">
      <alignment horizontal="center" vertical="center"/>
      <protection locked="0"/>
    </xf>
    <xf numFmtId="0" fontId="17" fillId="0" borderId="0" xfId="0" applyFont="1" applyFill="1" applyBorder="1" applyAlignment="1" applyProtection="1">
      <alignment wrapText="1"/>
      <protection/>
    </xf>
    <xf numFmtId="0" fontId="17" fillId="0" borderId="0" xfId="0" applyFont="1" applyFill="1" applyBorder="1" applyAlignment="1" applyProtection="1">
      <alignment vertical="center" wrapText="1"/>
      <protection hidden="1"/>
    </xf>
    <xf numFmtId="0" fontId="25" fillId="0" borderId="0" xfId="0" applyFont="1" applyFill="1" applyBorder="1" applyAlignment="1" applyProtection="1">
      <alignment horizontal="center" vertical="center"/>
      <protection hidden="1"/>
    </xf>
    <xf numFmtId="0" fontId="29" fillId="0" borderId="0" xfId="0" applyFont="1" applyFill="1" applyBorder="1" applyAlignment="1" applyProtection="1">
      <alignment/>
      <protection hidden="1"/>
    </xf>
    <xf numFmtId="0" fontId="25" fillId="0" borderId="0" xfId="0" applyFont="1" applyFill="1" applyBorder="1" applyAlignment="1" applyProtection="1">
      <alignment vertical="center"/>
      <protection hidden="1"/>
    </xf>
    <xf numFmtId="0" fontId="0" fillId="0" borderId="0" xfId="0" applyFill="1" applyBorder="1" applyAlignment="1" applyProtection="1">
      <alignment horizontal="right" vertical="center"/>
      <protection hidden="1" locked="0"/>
    </xf>
    <xf numFmtId="0" fontId="0" fillId="0" borderId="0" xfId="0" applyFill="1" applyBorder="1" applyAlignment="1" applyProtection="1">
      <alignment/>
      <protection locked="0"/>
    </xf>
    <xf numFmtId="0" fontId="14" fillId="0" borderId="0" xfId="0" applyFont="1" applyFill="1" applyBorder="1" applyAlignment="1" applyProtection="1">
      <alignment horizontal="center" vertical="center"/>
      <protection hidden="1" locked="0"/>
    </xf>
    <xf numFmtId="0" fontId="33" fillId="0" borderId="0" xfId="0" applyNumberFormat="1" applyFont="1" applyFill="1" applyBorder="1" applyAlignment="1" applyProtection="1">
      <alignment horizontal="center" vertical="center"/>
      <protection locked="0"/>
    </xf>
    <xf numFmtId="0" fontId="17" fillId="0" borderId="0" xfId="0" applyFont="1" applyFill="1" applyBorder="1" applyAlignment="1" applyProtection="1">
      <alignment/>
      <protection/>
    </xf>
    <xf numFmtId="0" fontId="71" fillId="0" borderId="0" xfId="0" applyFont="1" applyFill="1" applyBorder="1" applyAlignment="1" applyProtection="1">
      <alignment horizontal="center" wrapText="1"/>
      <protection hidden="1"/>
    </xf>
    <xf numFmtId="0" fontId="32" fillId="0" borderId="0" xfId="0" applyFont="1" applyFill="1" applyBorder="1" applyAlignment="1" applyProtection="1">
      <alignment horizontal="center" vertical="center"/>
      <protection/>
    </xf>
    <xf numFmtId="0" fontId="0" fillId="0" borderId="0" xfId="0" applyFill="1" applyBorder="1" applyAlignment="1" applyProtection="1">
      <alignment horizontal="right" vertical="center"/>
      <protection hidden="1"/>
    </xf>
    <xf numFmtId="0" fontId="25" fillId="0" borderId="0" xfId="0" applyFont="1" applyFill="1" applyBorder="1" applyAlignment="1" applyProtection="1">
      <alignment horizontal="right" vertical="center"/>
      <protection hidden="1"/>
    </xf>
    <xf numFmtId="0" fontId="0" fillId="0" borderId="0" xfId="0" applyFill="1" applyBorder="1" applyAlignment="1" applyProtection="1">
      <alignment vertical="center"/>
      <protection/>
    </xf>
    <xf numFmtId="0" fontId="0" fillId="0" borderId="0" xfId="0" applyFont="1" applyFill="1" applyBorder="1" applyAlignment="1" applyProtection="1">
      <alignment horizontal="right" vertical="center"/>
      <protection locked="0"/>
    </xf>
    <xf numFmtId="0" fontId="16" fillId="0" borderId="0" xfId="0" applyNumberFormat="1" applyFont="1" applyFill="1" applyBorder="1" applyAlignment="1" applyProtection="1">
      <alignment horizontal="center" vertical="center"/>
      <protection hidden="1" locked="0"/>
    </xf>
    <xf numFmtId="0" fontId="0" fillId="0" borderId="0" xfId="0" applyFont="1" applyFill="1" applyBorder="1" applyAlignment="1" applyProtection="1">
      <alignment horizontal="right" vertical="center"/>
      <protection/>
    </xf>
    <xf numFmtId="0" fontId="25" fillId="0" borderId="0" xfId="0" applyFont="1" applyFill="1" applyBorder="1" applyAlignment="1" applyProtection="1">
      <alignment horizontal="right" vertical="center"/>
      <protection/>
    </xf>
    <xf numFmtId="0" fontId="44" fillId="0" borderId="0" xfId="0" applyFont="1" applyFill="1" applyBorder="1" applyAlignment="1" applyProtection="1">
      <alignment horizontal="left" vertical="center"/>
      <protection/>
    </xf>
    <xf numFmtId="0" fontId="41"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locked="0"/>
    </xf>
    <xf numFmtId="0" fontId="0" fillId="0" borderId="0" xfId="0" applyFill="1" applyBorder="1" applyAlignment="1" applyProtection="1">
      <alignment horizontal="left" vertical="center"/>
      <protection locked="0"/>
    </xf>
    <xf numFmtId="0" fontId="41" fillId="0" borderId="0" xfId="0" applyFont="1" applyFill="1" applyBorder="1" applyAlignment="1" applyProtection="1">
      <alignment horizontal="right" vertical="center"/>
      <protection locked="0"/>
    </xf>
    <xf numFmtId="0" fontId="29" fillId="0" borderId="0" xfId="0"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hidden="1" locked="0"/>
    </xf>
    <xf numFmtId="1" fontId="48" fillId="0" borderId="0" xfId="0" applyNumberFormat="1" applyFont="1" applyFill="1" applyBorder="1" applyAlignment="1" applyProtection="1">
      <alignment/>
      <protection locked="0"/>
    </xf>
    <xf numFmtId="1" fontId="0" fillId="0" borderId="0" xfId="0" applyNumberFormat="1" applyFill="1" applyBorder="1" applyAlignment="1" applyProtection="1">
      <alignment/>
      <protection/>
    </xf>
    <xf numFmtId="0" fontId="0" fillId="0" borderId="0" xfId="0" applyNumberFormat="1" applyFill="1" applyBorder="1" applyAlignment="1" applyProtection="1">
      <alignment horizontal="center"/>
      <protection/>
    </xf>
    <xf numFmtId="2" fontId="41" fillId="0" borderId="0" xfId="0" applyNumberFormat="1" applyFont="1" applyFill="1" applyBorder="1" applyAlignment="1" applyProtection="1">
      <alignment horizontal="left" vertical="center" shrinkToFit="1"/>
      <protection/>
    </xf>
    <xf numFmtId="172" fontId="0" fillId="0" borderId="0" xfId="0" applyNumberFormat="1" applyFill="1" applyBorder="1" applyAlignment="1" applyProtection="1">
      <alignment horizontal="right"/>
      <protection/>
    </xf>
    <xf numFmtId="172" fontId="0" fillId="0" borderId="0" xfId="0" applyNumberFormat="1" applyFill="1" applyBorder="1" applyAlignment="1" applyProtection="1">
      <alignment horizontal="center"/>
      <protection/>
    </xf>
    <xf numFmtId="0" fontId="0" fillId="0" borderId="0" xfId="0" applyFont="1" applyFill="1" applyBorder="1" applyAlignment="1" applyProtection="1">
      <alignment horizontal="right"/>
      <protection/>
    </xf>
    <xf numFmtId="0" fontId="44" fillId="0" borderId="0" xfId="0" applyFont="1" applyFill="1" applyBorder="1" applyAlignment="1" applyProtection="1">
      <alignment horizontal="right"/>
      <protection/>
    </xf>
    <xf numFmtId="178" fontId="0" fillId="0" borderId="0" xfId="0" applyNumberFormat="1" applyFill="1" applyBorder="1" applyAlignment="1" applyProtection="1">
      <alignment horizontal="center"/>
      <protection/>
    </xf>
    <xf numFmtId="0" fontId="44" fillId="0" borderId="0" xfId="0" applyFont="1" applyFill="1" applyBorder="1" applyAlignment="1" applyProtection="1">
      <alignment horizontal="right"/>
      <protection hidden="1"/>
    </xf>
    <xf numFmtId="0" fontId="25" fillId="0" borderId="0" xfId="0" applyFont="1" applyFill="1" applyBorder="1" applyAlignment="1" applyProtection="1">
      <alignment wrapText="1"/>
      <protection/>
    </xf>
    <xf numFmtId="0" fontId="0" fillId="0" borderId="0" xfId="0" applyFill="1" applyBorder="1" applyAlignment="1" applyProtection="1">
      <alignment horizontal="left"/>
      <protection hidden="1"/>
    </xf>
    <xf numFmtId="1" fontId="0" fillId="0" borderId="0" xfId="0" applyNumberFormat="1" applyFill="1" applyBorder="1" applyAlignment="1">
      <alignment/>
    </xf>
    <xf numFmtId="2" fontId="0" fillId="0" borderId="0" xfId="0" applyNumberFormat="1" applyFill="1" applyBorder="1" applyAlignment="1">
      <alignment/>
    </xf>
    <xf numFmtId="0" fontId="44" fillId="0" borderId="0" xfId="0" applyFont="1" applyFill="1" applyBorder="1" applyAlignment="1" applyProtection="1">
      <alignment horizontal="center" vertical="center"/>
      <protection/>
    </xf>
    <xf numFmtId="0" fontId="44" fillId="0" borderId="0" xfId="0" applyFont="1" applyFill="1" applyBorder="1" applyAlignment="1" applyProtection="1">
      <alignment horizontal="center" vertical="center"/>
      <protection hidden="1"/>
    </xf>
    <xf numFmtId="0" fontId="44" fillId="0" borderId="0" xfId="0" applyFont="1" applyFill="1" applyBorder="1" applyAlignment="1" applyProtection="1">
      <alignment horizontal="center" vertical="center"/>
      <protection hidden="1" locked="0"/>
    </xf>
    <xf numFmtId="1" fontId="76" fillId="0" borderId="0" xfId="0" applyNumberFormat="1" applyFont="1" applyFill="1" applyBorder="1" applyAlignment="1" applyProtection="1">
      <alignment horizontal="center" vertical="center"/>
      <protection/>
    </xf>
    <xf numFmtId="0" fontId="44" fillId="0" borderId="0" xfId="0" applyFont="1" applyFill="1" applyBorder="1" applyAlignment="1" applyProtection="1">
      <alignment horizontal="center" vertical="center"/>
      <protection locked="0"/>
    </xf>
    <xf numFmtId="1" fontId="29" fillId="0" borderId="0" xfId="0" applyNumberFormat="1" applyFont="1" applyFill="1" applyBorder="1" applyAlignment="1" applyProtection="1">
      <alignment horizontal="center" vertical="center"/>
      <protection locked="0"/>
    </xf>
    <xf numFmtId="0" fontId="44" fillId="0" borderId="0" xfId="0" applyFont="1" applyFill="1" applyBorder="1" applyAlignment="1" applyProtection="1">
      <alignment/>
      <protection/>
    </xf>
    <xf numFmtId="0" fontId="14" fillId="0" borderId="0" xfId="0" applyFont="1" applyFill="1" applyBorder="1" applyAlignment="1" applyProtection="1">
      <alignment horizontal="center" vertical="center"/>
      <protection hidden="1"/>
    </xf>
    <xf numFmtId="0" fontId="33" fillId="0" borderId="0" xfId="0" applyNumberFormat="1" applyFont="1" applyFill="1" applyBorder="1" applyAlignment="1" applyProtection="1">
      <alignment horizontal="center" vertical="center"/>
      <protection/>
    </xf>
    <xf numFmtId="0" fontId="17" fillId="0" borderId="0" xfId="0" applyFont="1" applyFill="1" applyBorder="1" applyAlignment="1" applyProtection="1">
      <alignment/>
      <protection/>
    </xf>
    <xf numFmtId="0" fontId="16" fillId="0" borderId="0" xfId="0" applyNumberFormat="1" applyFont="1" applyFill="1" applyBorder="1" applyAlignment="1" applyProtection="1">
      <alignment horizontal="center" vertical="center"/>
      <protection hidden="1"/>
    </xf>
    <xf numFmtId="0" fontId="17" fillId="0" borderId="0" xfId="0" applyFont="1" applyFill="1" applyBorder="1" applyAlignment="1" applyProtection="1">
      <alignment horizontal="right"/>
      <protection/>
    </xf>
    <xf numFmtId="0" fontId="0" fillId="0" borderId="0" xfId="0" applyFill="1" applyBorder="1" applyAlignment="1" applyProtection="1">
      <alignment horizontal="left" vertical="center"/>
      <protection/>
    </xf>
    <xf numFmtId="0" fontId="41" fillId="0" borderId="0" xfId="0" applyFont="1" applyFill="1" applyBorder="1" applyAlignment="1" applyProtection="1">
      <alignment horizontal="right" vertical="center"/>
      <protection/>
    </xf>
    <xf numFmtId="0" fontId="29" fillId="0" borderId="0" xfId="0" applyFont="1" applyFill="1" applyBorder="1" applyAlignment="1" applyProtection="1">
      <alignment horizontal="center" vertical="center"/>
      <protection/>
    </xf>
    <xf numFmtId="1" fontId="48" fillId="0" borderId="0" xfId="0" applyNumberFormat="1" applyFont="1" applyFill="1" applyBorder="1" applyAlignment="1" applyProtection="1">
      <alignment/>
      <protection/>
    </xf>
    <xf numFmtId="0" fontId="50" fillId="0" borderId="0" xfId="0" applyFont="1" applyFill="1" applyBorder="1" applyAlignment="1" applyProtection="1">
      <alignment vertical="top" wrapText="1"/>
      <protection/>
    </xf>
    <xf numFmtId="0" fontId="69" fillId="0" borderId="0" xfId="0" applyFont="1" applyFill="1" applyBorder="1" applyAlignment="1" applyProtection="1">
      <alignment vertical="center"/>
      <protection/>
    </xf>
    <xf numFmtId="0" fontId="23" fillId="0" borderId="0" xfId="0" applyFont="1" applyFill="1" applyBorder="1" applyAlignment="1" applyProtection="1">
      <alignment vertical="center" wrapText="1"/>
      <protection/>
    </xf>
    <xf numFmtId="0" fontId="26" fillId="0" borderId="0" xfId="0" applyFont="1" applyFill="1" applyBorder="1" applyAlignment="1" applyProtection="1">
      <alignment vertical="center"/>
      <protection/>
    </xf>
    <xf numFmtId="0" fontId="25" fillId="0" borderId="0" xfId="0" applyFont="1" applyFill="1" applyBorder="1" applyAlignment="1" applyProtection="1">
      <alignment vertical="center" wrapText="1"/>
      <protection/>
    </xf>
    <xf numFmtId="0" fontId="25" fillId="0" borderId="0" xfId="0" applyFont="1" applyFill="1" applyBorder="1" applyAlignment="1" applyProtection="1">
      <alignment vertical="center" textRotation="90"/>
      <protection/>
    </xf>
    <xf numFmtId="0" fontId="45" fillId="0" borderId="0" xfId="0" applyFont="1" applyFill="1" applyBorder="1" applyAlignment="1" applyProtection="1">
      <alignment wrapText="1"/>
      <protection hidden="1" locked="0"/>
    </xf>
    <xf numFmtId="0" fontId="23" fillId="0" borderId="0" xfId="0" applyFont="1" applyFill="1" applyBorder="1" applyAlignment="1" applyProtection="1">
      <alignment vertical="center" textRotation="90" wrapText="1"/>
      <protection hidden="1"/>
    </xf>
    <xf numFmtId="0" fontId="44" fillId="0" borderId="0" xfId="0" applyFont="1" applyFill="1" applyBorder="1" applyAlignment="1" applyProtection="1">
      <alignment/>
      <protection/>
    </xf>
    <xf numFmtId="0" fontId="25" fillId="0" borderId="0" xfId="0" applyFont="1" applyFill="1" applyBorder="1" applyAlignment="1" applyProtection="1">
      <alignment vertical="center" textRotation="90" wrapText="1"/>
      <protection hidden="1"/>
    </xf>
    <xf numFmtId="0" fontId="45" fillId="0" borderId="0" xfId="0" applyFont="1" applyFill="1" applyBorder="1" applyAlignment="1" applyProtection="1">
      <alignment vertical="center" wrapText="1"/>
      <protection hidden="1"/>
    </xf>
    <xf numFmtId="0" fontId="25" fillId="0" borderId="0" xfId="0" applyFont="1" applyFill="1" applyBorder="1" applyAlignment="1" applyProtection="1">
      <alignment vertical="center" textRotation="90" wrapText="1"/>
      <protection/>
    </xf>
    <xf numFmtId="0" fontId="25" fillId="0" borderId="0" xfId="0" applyFont="1" applyFill="1" applyBorder="1" applyAlignment="1" applyProtection="1">
      <alignment vertical="center" textRotation="90"/>
      <protection hidden="1"/>
    </xf>
    <xf numFmtId="0" fontId="75" fillId="0" borderId="0" xfId="0" applyFont="1" applyFill="1" applyBorder="1" applyAlignment="1" applyProtection="1">
      <alignment vertical="center"/>
      <protection/>
    </xf>
    <xf numFmtId="0" fontId="33" fillId="0" borderId="0" xfId="0" applyFont="1" applyFill="1" applyBorder="1" applyAlignment="1" applyProtection="1">
      <alignment vertical="center"/>
      <protection hidden="1" locked="0"/>
    </xf>
    <xf numFmtId="0" fontId="0" fillId="0" borderId="0" xfId="0" applyFont="1" applyFill="1" applyBorder="1" applyAlignment="1" applyProtection="1">
      <alignment/>
      <protection hidden="1"/>
    </xf>
    <xf numFmtId="0" fontId="0" fillId="0" borderId="0" xfId="0" applyFill="1" applyBorder="1" applyAlignment="1" applyProtection="1">
      <alignment textRotation="90" wrapText="1"/>
      <protection/>
    </xf>
    <xf numFmtId="0" fontId="22" fillId="0" borderId="0" xfId="0" applyFont="1" applyFill="1" applyBorder="1" applyAlignment="1" applyProtection="1">
      <alignment wrapText="1"/>
      <protection hidden="1"/>
    </xf>
    <xf numFmtId="0" fontId="13" fillId="0" borderId="0" xfId="0" applyFont="1" applyFill="1" applyBorder="1" applyAlignment="1" applyProtection="1">
      <alignment wrapText="1"/>
      <protection/>
    </xf>
    <xf numFmtId="0" fontId="70" fillId="0" borderId="0" xfId="0" applyFont="1" applyFill="1" applyBorder="1" applyAlignment="1" applyProtection="1">
      <alignment wrapText="1"/>
      <protection hidden="1"/>
    </xf>
    <xf numFmtId="0" fontId="44" fillId="0" borderId="0" xfId="0" applyFont="1" applyFill="1" applyBorder="1" applyAlignment="1" applyProtection="1">
      <alignment wrapText="1"/>
      <protection/>
    </xf>
    <xf numFmtId="0" fontId="44" fillId="0" borderId="0" xfId="0" applyFont="1" applyFill="1" applyBorder="1" applyAlignment="1" applyProtection="1">
      <alignment vertical="center" wrapText="1"/>
      <protection/>
    </xf>
    <xf numFmtId="0" fontId="44" fillId="0" borderId="0" xfId="0" applyFont="1" applyFill="1" applyBorder="1" applyAlignment="1" applyProtection="1">
      <alignment vertical="center"/>
      <protection locked="0"/>
    </xf>
    <xf numFmtId="0" fontId="44" fillId="0" borderId="0" xfId="0" applyFont="1" applyFill="1" applyBorder="1" applyAlignment="1" applyProtection="1">
      <alignment vertical="center"/>
      <protection hidden="1" locked="0"/>
    </xf>
    <xf numFmtId="0" fontId="16" fillId="0" borderId="0" xfId="0" applyFont="1" applyFill="1" applyBorder="1" applyAlignment="1" applyProtection="1">
      <alignment vertical="center"/>
      <protection hidden="1" locked="0"/>
    </xf>
    <xf numFmtId="1" fontId="33" fillId="0" borderId="0" xfId="0" applyNumberFormat="1" applyFont="1" applyFill="1" applyBorder="1" applyAlignment="1" applyProtection="1">
      <alignment vertical="center"/>
      <protection locked="0"/>
    </xf>
    <xf numFmtId="1" fontId="16" fillId="0" borderId="0" xfId="0" applyNumberFormat="1" applyFont="1" applyFill="1" applyBorder="1" applyAlignment="1" applyProtection="1">
      <alignment vertical="center"/>
      <protection hidden="1"/>
    </xf>
    <xf numFmtId="0" fontId="16" fillId="0" borderId="0" xfId="0" applyFont="1" applyFill="1" applyBorder="1" applyAlignment="1" applyProtection="1">
      <alignment vertical="center"/>
      <protection hidden="1"/>
    </xf>
    <xf numFmtId="0" fontId="44" fillId="0" borderId="0" xfId="0" applyFont="1" applyFill="1" applyBorder="1" applyAlignment="1" applyProtection="1">
      <alignment vertical="center"/>
      <protection/>
    </xf>
    <xf numFmtId="0" fontId="44" fillId="0" borderId="0" xfId="0" applyFont="1" applyFill="1" applyBorder="1" applyAlignment="1" applyProtection="1">
      <alignment vertical="center"/>
      <protection hidden="1"/>
    </xf>
    <xf numFmtId="1" fontId="33" fillId="0" borderId="0" xfId="0" applyNumberFormat="1" applyFont="1" applyFill="1" applyBorder="1" applyAlignment="1" applyProtection="1">
      <alignment vertical="center"/>
      <protection/>
    </xf>
    <xf numFmtId="0" fontId="0" fillId="0" borderId="0" xfId="0"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33" fillId="0" borderId="0" xfId="0" applyFont="1" applyFill="1" applyBorder="1" applyAlignment="1" applyProtection="1">
      <alignment vertical="center"/>
      <protection hidden="1"/>
    </xf>
    <xf numFmtId="0" fontId="32" fillId="0" borderId="0" xfId="0" applyFont="1" applyFill="1" applyBorder="1" applyAlignment="1" applyProtection="1">
      <alignment vertical="center"/>
      <protection hidden="1"/>
    </xf>
    <xf numFmtId="2" fontId="41" fillId="0" borderId="0" xfId="0" applyNumberFormat="1" applyFont="1" applyFill="1" applyBorder="1" applyAlignment="1" applyProtection="1">
      <alignment vertical="center"/>
      <protection/>
    </xf>
    <xf numFmtId="0" fontId="41" fillId="0" borderId="0" xfId="0" applyFont="1" applyFill="1" applyBorder="1" applyAlignment="1" applyProtection="1">
      <alignment vertical="center"/>
      <protection/>
    </xf>
    <xf numFmtId="1" fontId="48" fillId="0" borderId="0" xfId="0" applyNumberFormat="1" applyFont="1" applyFill="1" applyBorder="1" applyAlignment="1" applyProtection="1">
      <alignment vertical="center"/>
      <protection/>
    </xf>
    <xf numFmtId="0" fontId="0" fillId="0" borderId="0" xfId="0" applyFill="1" applyBorder="1" applyAlignment="1">
      <alignment wrapText="1"/>
    </xf>
    <xf numFmtId="0" fontId="0" fillId="0" borderId="0" xfId="0" applyFont="1" applyFill="1" applyAlignment="1" applyProtection="1">
      <alignment horizontal="right"/>
      <protection/>
    </xf>
    <xf numFmtId="0" fontId="0" fillId="0" borderId="0" xfId="0" applyFont="1" applyFill="1" applyAlignment="1" applyProtection="1">
      <alignment horizontal="left"/>
      <protection/>
    </xf>
    <xf numFmtId="0" fontId="47" fillId="0" borderId="0" xfId="0" applyFont="1" applyFill="1" applyBorder="1" applyAlignment="1" applyProtection="1">
      <alignment vertical="center"/>
      <protection/>
    </xf>
    <xf numFmtId="0" fontId="23" fillId="0" borderId="0" xfId="0" applyFont="1" applyBorder="1" applyAlignment="1" applyProtection="1">
      <alignment vertical="center" wrapText="1"/>
      <protection/>
    </xf>
    <xf numFmtId="0" fontId="25" fillId="0" borderId="0" xfId="0" applyFont="1" applyBorder="1" applyAlignment="1" applyProtection="1">
      <alignment horizontal="center" vertical="center"/>
      <protection hidden="1"/>
    </xf>
    <xf numFmtId="0" fontId="0" fillId="0" borderId="0" xfId="0" applyBorder="1" applyAlignment="1" applyProtection="1">
      <alignment vertical="center"/>
      <protection/>
    </xf>
    <xf numFmtId="0" fontId="26" fillId="35" borderId="0" xfId="0" applyFont="1" applyFill="1" applyBorder="1" applyAlignment="1" applyProtection="1">
      <alignment vertical="center"/>
      <protection/>
    </xf>
    <xf numFmtId="0" fontId="26" fillId="35" borderId="30" xfId="0" applyFont="1" applyFill="1" applyBorder="1" applyAlignment="1" applyProtection="1">
      <alignment vertical="center"/>
      <protection/>
    </xf>
    <xf numFmtId="0" fontId="44" fillId="0" borderId="0" xfId="0" applyFont="1" applyAlignment="1" applyProtection="1">
      <alignment wrapText="1"/>
      <protection/>
    </xf>
    <xf numFmtId="0" fontId="45" fillId="0" borderId="0" xfId="0" applyFont="1" applyBorder="1" applyAlignment="1" applyProtection="1">
      <alignment vertical="center" wrapText="1"/>
      <protection hidden="1"/>
    </xf>
    <xf numFmtId="0" fontId="50" fillId="0" borderId="0" xfId="0" applyFont="1" applyBorder="1" applyAlignment="1" applyProtection="1">
      <alignment vertical="top" wrapText="1"/>
      <protection/>
    </xf>
    <xf numFmtId="0" fontId="26" fillId="0" borderId="0" xfId="0" applyFont="1" applyBorder="1" applyAlignment="1" applyProtection="1">
      <alignment vertical="center" wrapText="1"/>
      <protection/>
    </xf>
    <xf numFmtId="0" fontId="16" fillId="50" borderId="145" xfId="0" applyFont="1" applyFill="1" applyBorder="1" applyAlignment="1" applyProtection="1">
      <alignment horizontal="center" vertical="center"/>
      <protection hidden="1" locked="0"/>
    </xf>
    <xf numFmtId="0" fontId="16" fillId="50" borderId="146" xfId="0" applyFont="1" applyFill="1" applyBorder="1" applyAlignment="1" applyProtection="1">
      <alignment horizontal="center" vertical="center"/>
      <protection hidden="1" locked="0"/>
    </xf>
    <xf numFmtId="0" fontId="16" fillId="50" borderId="147" xfId="0" applyFont="1" applyFill="1" applyBorder="1" applyAlignment="1" applyProtection="1">
      <alignment horizontal="center" vertical="center"/>
      <protection hidden="1" locked="0"/>
    </xf>
    <xf numFmtId="0" fontId="26" fillId="35" borderId="143" xfId="0" applyFont="1" applyFill="1" applyBorder="1" applyAlignment="1" applyProtection="1">
      <alignment vertical="center"/>
      <protection/>
    </xf>
    <xf numFmtId="0" fontId="26" fillId="35" borderId="26" xfId="0" applyFont="1" applyFill="1" applyBorder="1" applyAlignment="1" applyProtection="1">
      <alignment vertical="center"/>
      <protection/>
    </xf>
    <xf numFmtId="0" fontId="25" fillId="35" borderId="15" xfId="0" applyFont="1" applyFill="1" applyBorder="1" applyAlignment="1" applyProtection="1">
      <alignment horizontal="center" vertical="center" wrapText="1"/>
      <protection/>
    </xf>
    <xf numFmtId="0" fontId="26" fillId="35" borderId="148" xfId="0" applyFont="1" applyFill="1" applyBorder="1" applyAlignment="1" applyProtection="1">
      <alignment horizontal="center" vertical="center"/>
      <protection locked="0"/>
    </xf>
    <xf numFmtId="0" fontId="32" fillId="0" borderId="0" xfId="0" applyFont="1" applyFill="1" applyBorder="1" applyAlignment="1" applyProtection="1">
      <alignment horizontal="center" vertical="center"/>
      <protection hidden="1" locked="0"/>
    </xf>
    <xf numFmtId="0" fontId="0" fillId="34" borderId="10" xfId="0" applyFill="1" applyBorder="1" applyAlignment="1" applyProtection="1">
      <alignment horizontal="left" vertical="center"/>
      <protection locked="0"/>
    </xf>
    <xf numFmtId="0" fontId="41" fillId="34" borderId="10" xfId="0" applyFont="1" applyFill="1" applyBorder="1" applyAlignment="1" applyProtection="1">
      <alignment horizontal="right" vertical="center"/>
      <protection locked="0"/>
    </xf>
    <xf numFmtId="0" fontId="26" fillId="35" borderId="128" xfId="0" applyFont="1" applyFill="1" applyBorder="1" applyAlignment="1" applyProtection="1">
      <alignment horizontal="center" vertical="center"/>
      <protection locked="0"/>
    </xf>
    <xf numFmtId="0" fontId="26" fillId="35" borderId="118" xfId="0" applyFont="1" applyFill="1" applyBorder="1" applyAlignment="1" applyProtection="1">
      <alignment horizontal="center" vertical="center"/>
      <protection hidden="1" locked="0"/>
    </xf>
    <xf numFmtId="0" fontId="26" fillId="35" borderId="85" xfId="0" applyFont="1" applyFill="1" applyBorder="1" applyAlignment="1" applyProtection="1">
      <alignment horizontal="center" vertical="center"/>
      <protection hidden="1" locked="0"/>
    </xf>
    <xf numFmtId="0" fontId="26" fillId="48" borderId="84" xfId="0" applyFont="1" applyFill="1" applyBorder="1" applyAlignment="1" applyProtection="1">
      <alignment horizontal="center" vertical="center"/>
      <protection hidden="1" locked="0"/>
    </xf>
    <xf numFmtId="0" fontId="26" fillId="48" borderId="85" xfId="0" applyFont="1" applyFill="1" applyBorder="1" applyAlignment="1" applyProtection="1">
      <alignment horizontal="center" vertical="center"/>
      <protection hidden="1" locked="0"/>
    </xf>
    <xf numFmtId="0" fontId="0" fillId="0" borderId="0" xfId="0" applyBorder="1" applyAlignment="1" applyProtection="1">
      <alignment horizontal="right" vertical="center"/>
      <protection hidden="1" locked="0"/>
    </xf>
    <xf numFmtId="0" fontId="0" fillId="0" borderId="0" xfId="0" applyBorder="1" applyAlignment="1" applyProtection="1">
      <alignment/>
      <protection locked="0"/>
    </xf>
    <xf numFmtId="0" fontId="0" fillId="0" borderId="10" xfId="0" applyBorder="1" applyAlignment="1" applyProtection="1">
      <alignment horizontal="center" vertical="center"/>
      <protection/>
    </xf>
    <xf numFmtId="0" fontId="0" fillId="0" borderId="10" xfId="0" applyFont="1" applyBorder="1" applyAlignment="1" applyProtection="1">
      <alignment horizontal="right" vertical="center"/>
      <protection locked="0"/>
    </xf>
    <xf numFmtId="1" fontId="33" fillId="66" borderId="149" xfId="0" applyNumberFormat="1" applyFont="1" applyFill="1" applyBorder="1" applyAlignment="1" applyProtection="1">
      <alignment horizontal="center" vertical="center"/>
      <protection locked="0"/>
    </xf>
    <xf numFmtId="1" fontId="33" fillId="66" borderId="150" xfId="0" applyNumberFormat="1" applyFont="1" applyFill="1" applyBorder="1" applyAlignment="1" applyProtection="1">
      <alignment horizontal="center" vertical="center"/>
      <protection locked="0"/>
    </xf>
    <xf numFmtId="1" fontId="33" fillId="66" borderId="151" xfId="0" applyNumberFormat="1" applyFont="1" applyFill="1" applyBorder="1" applyAlignment="1" applyProtection="1">
      <alignment horizontal="center" vertical="center"/>
      <protection locked="0"/>
    </xf>
    <xf numFmtId="1" fontId="33" fillId="66" borderId="79" xfId="0" applyNumberFormat="1" applyFont="1" applyFill="1" applyBorder="1" applyAlignment="1" applyProtection="1">
      <alignment horizontal="center" vertical="center"/>
      <protection locked="0"/>
    </xf>
    <xf numFmtId="0" fontId="26" fillId="0" borderId="87" xfId="0" applyFont="1" applyFill="1" applyBorder="1" applyAlignment="1" applyProtection="1">
      <alignment horizontal="center" vertical="center"/>
      <protection locked="0"/>
    </xf>
    <xf numFmtId="0" fontId="26" fillId="35" borderId="152" xfId="0" applyFont="1" applyFill="1" applyBorder="1" applyAlignment="1" applyProtection="1">
      <alignment horizontal="center" vertical="center"/>
      <protection locked="0"/>
    </xf>
    <xf numFmtId="0" fontId="25" fillId="0" borderId="0" xfId="0" applyFont="1" applyBorder="1" applyAlignment="1" applyProtection="1">
      <alignment wrapText="1"/>
      <protection/>
    </xf>
    <xf numFmtId="0" fontId="26" fillId="35" borderId="15" xfId="0" applyFont="1" applyFill="1" applyBorder="1" applyAlignment="1" applyProtection="1">
      <alignment horizontal="center" vertical="center"/>
      <protection locked="0"/>
    </xf>
    <xf numFmtId="0" fontId="26" fillId="35" borderId="153" xfId="0" applyFont="1" applyFill="1" applyBorder="1" applyAlignment="1" applyProtection="1">
      <alignment horizontal="center" vertical="center"/>
      <protection locked="0"/>
    </xf>
    <xf numFmtId="0" fontId="26" fillId="65" borderId="154" xfId="0" applyFont="1" applyFill="1" applyBorder="1" applyAlignment="1" applyProtection="1">
      <alignment horizontal="center" vertical="center"/>
      <protection hidden="1" locked="0"/>
    </xf>
    <xf numFmtId="0" fontId="26" fillId="65" borderId="27" xfId="0" applyFont="1" applyFill="1" applyBorder="1" applyAlignment="1" applyProtection="1">
      <alignment horizontal="center" vertical="center"/>
      <protection hidden="1" locked="0"/>
    </xf>
    <xf numFmtId="0" fontId="26" fillId="65" borderId="155" xfId="0" applyFont="1" applyFill="1" applyBorder="1" applyAlignment="1" applyProtection="1">
      <alignment horizontal="center" vertical="center"/>
      <protection hidden="1" locked="0"/>
    </xf>
    <xf numFmtId="0" fontId="26" fillId="65" borderId="64" xfId="0" applyFont="1" applyFill="1" applyBorder="1" applyAlignment="1" applyProtection="1">
      <alignment horizontal="center" vertical="center"/>
      <protection hidden="1" locked="0"/>
    </xf>
    <xf numFmtId="0" fontId="0" fillId="0" borderId="0" xfId="0" applyFill="1" applyAlignment="1" applyProtection="1">
      <alignment/>
      <protection/>
    </xf>
    <xf numFmtId="0" fontId="16" fillId="47" borderId="11" xfId="0" applyFont="1" applyFill="1" applyBorder="1" applyAlignment="1" applyProtection="1">
      <alignment horizontal="center" vertical="center"/>
      <protection hidden="1"/>
    </xf>
    <xf numFmtId="0" fontId="22" fillId="0" borderId="0" xfId="0" applyFont="1" applyBorder="1" applyAlignment="1" applyProtection="1">
      <alignment vertical="top" wrapText="1"/>
      <protection hidden="1"/>
    </xf>
    <xf numFmtId="0" fontId="33" fillId="0" borderId="10" xfId="0" applyFont="1" applyFill="1" applyBorder="1" applyAlignment="1" applyProtection="1">
      <alignment vertical="center"/>
      <protection hidden="1" locked="0"/>
    </xf>
    <xf numFmtId="0" fontId="0" fillId="0" borderId="93" xfId="0" applyBorder="1" applyAlignment="1" applyProtection="1">
      <alignment/>
      <protection locked="0"/>
    </xf>
    <xf numFmtId="0" fontId="0" fillId="70" borderId="0" xfId="0" applyFill="1" applyBorder="1" applyAlignment="1" applyProtection="1">
      <alignment horizontal="center"/>
      <protection/>
    </xf>
    <xf numFmtId="0" fontId="0" fillId="47" borderId="86" xfId="0" applyFill="1" applyBorder="1" applyAlignment="1" applyProtection="1">
      <alignment/>
      <protection/>
    </xf>
    <xf numFmtId="0" fontId="0" fillId="70" borderId="0" xfId="0" applyFill="1" applyBorder="1" applyAlignment="1" applyProtection="1">
      <alignment/>
      <protection/>
    </xf>
    <xf numFmtId="0" fontId="0" fillId="70" borderId="86" xfId="0" applyFill="1" applyBorder="1" applyAlignment="1" applyProtection="1">
      <alignment/>
      <protection/>
    </xf>
    <xf numFmtId="0" fontId="0" fillId="70" borderId="86" xfId="0" applyFill="1" applyBorder="1" applyAlignment="1" applyProtection="1">
      <alignment horizontal="center"/>
      <protection/>
    </xf>
    <xf numFmtId="0" fontId="0" fillId="56" borderId="0" xfId="0" applyFill="1" applyAlignment="1" applyProtection="1">
      <alignment/>
      <protection/>
    </xf>
    <xf numFmtId="0" fontId="23" fillId="0" borderId="28" xfId="0" applyFont="1" applyBorder="1" applyAlignment="1" applyProtection="1">
      <alignment vertical="center" textRotation="90" wrapText="1"/>
      <protection hidden="1"/>
    </xf>
    <xf numFmtId="0" fontId="23" fillId="0" borderId="0" xfId="0" applyFont="1" applyBorder="1" applyAlignment="1" applyProtection="1">
      <alignment vertical="center" textRotation="90" wrapText="1"/>
      <protection hidden="1"/>
    </xf>
    <xf numFmtId="0" fontId="23" fillId="0" borderId="143" xfId="0" applyFont="1" applyBorder="1" applyAlignment="1" applyProtection="1">
      <alignment vertical="center" textRotation="90" wrapText="1"/>
      <protection hidden="1"/>
    </xf>
    <xf numFmtId="0" fontId="25" fillId="0" borderId="28" xfId="0" applyFont="1" applyBorder="1" applyAlignment="1" applyProtection="1">
      <alignment vertical="center" textRotation="90" wrapText="1"/>
      <protection hidden="1"/>
    </xf>
    <xf numFmtId="0" fontId="25" fillId="0" borderId="0" xfId="0" applyFont="1" applyBorder="1" applyAlignment="1" applyProtection="1">
      <alignment vertical="center" textRotation="90" wrapText="1"/>
      <protection hidden="1"/>
    </xf>
    <xf numFmtId="0" fontId="25" fillId="0" borderId="86" xfId="0" applyFont="1" applyBorder="1" applyAlignment="1" applyProtection="1">
      <alignment vertical="center" textRotation="90"/>
      <protection hidden="1"/>
    </xf>
    <xf numFmtId="0" fontId="25" fillId="56" borderId="0" xfId="0" applyFont="1" applyFill="1" applyBorder="1" applyAlignment="1" applyProtection="1">
      <alignment horizontal="center" vertical="center"/>
      <protection/>
    </xf>
    <xf numFmtId="0" fontId="25" fillId="56" borderId="0" xfId="0" applyFont="1" applyFill="1" applyBorder="1" applyAlignment="1" applyProtection="1">
      <alignment horizontal="center" vertical="center" wrapText="1"/>
      <protection/>
    </xf>
    <xf numFmtId="0" fontId="25" fillId="56" borderId="86" xfId="0" applyFont="1" applyFill="1" applyBorder="1" applyAlignment="1" applyProtection="1">
      <alignment horizontal="center" vertical="center"/>
      <protection/>
    </xf>
    <xf numFmtId="0" fontId="46" fillId="0" borderId="0" xfId="0" applyFont="1" applyFill="1" applyBorder="1" applyAlignment="1" applyProtection="1">
      <alignment vertical="top" wrapText="1"/>
      <protection/>
    </xf>
    <xf numFmtId="0" fontId="0" fillId="56" borderId="87" xfId="0" applyFill="1" applyBorder="1" applyAlignment="1" applyProtection="1">
      <alignment horizontal="center"/>
      <protection/>
    </xf>
    <xf numFmtId="0" fontId="0" fillId="0" borderId="0" xfId="0" applyFill="1" applyAlignment="1" applyProtection="1">
      <alignment textRotation="90" wrapText="1"/>
      <protection/>
    </xf>
    <xf numFmtId="1" fontId="33" fillId="34" borderId="156" xfId="0" applyNumberFormat="1" applyFont="1" applyFill="1" applyBorder="1" applyAlignment="1" applyProtection="1">
      <alignment horizontal="center" vertical="center"/>
      <protection/>
    </xf>
    <xf numFmtId="0" fontId="16" fillId="33" borderId="157" xfId="0" applyFont="1" applyFill="1" applyBorder="1" applyAlignment="1" applyProtection="1">
      <alignment horizontal="center" vertical="center"/>
      <protection hidden="1"/>
    </xf>
    <xf numFmtId="2" fontId="0" fillId="0" borderId="0" xfId="0" applyNumberFormat="1" applyFill="1" applyBorder="1" applyAlignment="1" applyProtection="1">
      <alignment horizontal="center"/>
      <protection/>
    </xf>
    <xf numFmtId="0" fontId="16" fillId="36" borderId="64" xfId="0" applyFont="1" applyFill="1" applyBorder="1" applyAlignment="1" applyProtection="1">
      <alignment horizontal="center" vertical="center"/>
      <protection hidden="1"/>
    </xf>
    <xf numFmtId="0" fontId="16" fillId="36" borderId="25" xfId="0" applyFont="1" applyFill="1" applyBorder="1" applyAlignment="1" applyProtection="1">
      <alignment horizontal="center" vertical="center"/>
      <protection hidden="1"/>
    </xf>
    <xf numFmtId="1" fontId="33" fillId="34" borderId="27" xfId="0" applyNumberFormat="1" applyFont="1" applyFill="1" applyBorder="1" applyAlignment="1" applyProtection="1">
      <alignment horizontal="center" vertical="center"/>
      <protection/>
    </xf>
    <xf numFmtId="1" fontId="33" fillId="34" borderId="25" xfId="0" applyNumberFormat="1" applyFont="1" applyFill="1" applyBorder="1" applyAlignment="1" applyProtection="1">
      <alignment horizontal="center" vertical="center"/>
      <protection/>
    </xf>
    <xf numFmtId="0" fontId="26" fillId="48" borderId="95" xfId="0" applyFont="1" applyFill="1" applyBorder="1" applyAlignment="1" applyProtection="1">
      <alignment horizontal="center" vertical="center"/>
      <protection hidden="1"/>
    </xf>
    <xf numFmtId="0" fontId="26" fillId="48" borderId="158" xfId="0" applyFont="1" applyFill="1" applyBorder="1" applyAlignment="1" applyProtection="1">
      <alignment horizontal="center" vertical="center"/>
      <protection hidden="1"/>
    </xf>
    <xf numFmtId="0" fontId="26" fillId="48" borderId="159" xfId="0" applyFont="1" applyFill="1" applyBorder="1" applyAlignment="1" applyProtection="1">
      <alignment horizontal="center" vertical="center"/>
      <protection hidden="1"/>
    </xf>
    <xf numFmtId="0" fontId="26" fillId="48" borderId="160" xfId="0" applyFont="1" applyFill="1" applyBorder="1" applyAlignment="1" applyProtection="1">
      <alignment horizontal="center" vertical="center"/>
      <protection hidden="1"/>
    </xf>
    <xf numFmtId="0" fontId="26" fillId="48" borderId="161" xfId="0" applyFont="1" applyFill="1" applyBorder="1" applyAlignment="1" applyProtection="1">
      <alignment horizontal="center" vertical="center"/>
      <protection hidden="1"/>
    </xf>
    <xf numFmtId="0" fontId="26" fillId="48" borderId="162" xfId="0" applyFont="1" applyFill="1" applyBorder="1" applyAlignment="1" applyProtection="1">
      <alignment horizontal="center" vertical="center"/>
      <protection hidden="1"/>
    </xf>
    <xf numFmtId="0" fontId="26" fillId="48" borderId="163" xfId="0" applyFont="1" applyFill="1" applyBorder="1" applyAlignment="1" applyProtection="1">
      <alignment horizontal="center" vertical="center"/>
      <protection hidden="1"/>
    </xf>
    <xf numFmtId="0" fontId="26" fillId="48" borderId="164" xfId="0" applyFont="1" applyFill="1" applyBorder="1" applyAlignment="1" applyProtection="1">
      <alignment horizontal="center" vertical="center"/>
      <protection hidden="1"/>
    </xf>
    <xf numFmtId="0" fontId="26" fillId="48" borderId="165" xfId="0" applyFont="1" applyFill="1" applyBorder="1" applyAlignment="1" applyProtection="1">
      <alignment horizontal="center" vertical="center"/>
      <protection hidden="1"/>
    </xf>
    <xf numFmtId="0" fontId="26" fillId="48" borderId="166" xfId="0" applyFont="1" applyFill="1" applyBorder="1" applyAlignment="1" applyProtection="1">
      <alignment horizontal="center" vertical="center"/>
      <protection hidden="1"/>
    </xf>
    <xf numFmtId="0" fontId="26" fillId="48" borderId="167" xfId="0" applyFont="1" applyFill="1" applyBorder="1" applyAlignment="1" applyProtection="1">
      <alignment horizontal="center" vertical="center"/>
      <protection hidden="1"/>
    </xf>
    <xf numFmtId="0" fontId="26" fillId="48" borderId="168" xfId="0" applyFont="1" applyFill="1" applyBorder="1" applyAlignment="1" applyProtection="1">
      <alignment horizontal="center" vertical="center"/>
      <protection hidden="1"/>
    </xf>
    <xf numFmtId="0" fontId="26" fillId="48" borderId="169" xfId="0" applyFont="1" applyFill="1" applyBorder="1" applyAlignment="1" applyProtection="1">
      <alignment horizontal="center" vertical="center"/>
      <protection hidden="1"/>
    </xf>
    <xf numFmtId="0" fontId="26" fillId="48" borderId="170" xfId="0" applyFont="1" applyFill="1" applyBorder="1" applyAlignment="1" applyProtection="1">
      <alignment horizontal="center" vertical="center"/>
      <protection hidden="1"/>
    </xf>
    <xf numFmtId="0" fontId="26" fillId="48" borderId="171" xfId="0" applyFont="1" applyFill="1" applyBorder="1" applyAlignment="1" applyProtection="1">
      <alignment horizontal="center" vertical="center"/>
      <protection hidden="1"/>
    </xf>
    <xf numFmtId="0" fontId="26" fillId="48" borderId="172" xfId="0" applyFont="1" applyFill="1" applyBorder="1" applyAlignment="1" applyProtection="1">
      <alignment horizontal="center" vertical="center"/>
      <protection hidden="1"/>
    </xf>
    <xf numFmtId="0" fontId="25" fillId="0" borderId="173" xfId="0" applyFont="1" applyBorder="1" applyAlignment="1" applyProtection="1">
      <alignment horizontal="center" vertical="center"/>
      <protection hidden="1"/>
    </xf>
    <xf numFmtId="0" fontId="16" fillId="33" borderId="174" xfId="0" applyFont="1" applyFill="1" applyBorder="1" applyAlignment="1" applyProtection="1">
      <alignment horizontal="center" vertical="center"/>
      <protection hidden="1"/>
    </xf>
    <xf numFmtId="0" fontId="16" fillId="33" borderId="125" xfId="0" applyFont="1" applyFill="1" applyBorder="1" applyAlignment="1" applyProtection="1">
      <alignment horizontal="center" vertical="center"/>
      <protection hidden="1"/>
    </xf>
    <xf numFmtId="0" fontId="35" fillId="56" borderId="0" xfId="0" applyFont="1" applyFill="1" applyBorder="1" applyAlignment="1" applyProtection="1">
      <alignment horizontal="center" vertical="center"/>
      <protection hidden="1" locked="0"/>
    </xf>
    <xf numFmtId="0" fontId="35" fillId="56" borderId="0" xfId="0" applyFont="1" applyFill="1" applyBorder="1" applyAlignment="1" applyProtection="1">
      <alignment horizontal="center" vertical="center"/>
      <protection/>
    </xf>
    <xf numFmtId="1" fontId="0" fillId="71" borderId="0" xfId="0" applyNumberFormat="1" applyFont="1" applyFill="1" applyBorder="1" applyAlignment="1" applyProtection="1">
      <alignment horizontal="center"/>
      <protection/>
    </xf>
    <xf numFmtId="0" fontId="0" fillId="0" borderId="0" xfId="0" applyFont="1" applyAlignment="1">
      <alignment horizontal="center" vertical="center"/>
    </xf>
    <xf numFmtId="0" fontId="29" fillId="0" borderId="0" xfId="0" applyFont="1" applyFill="1" applyBorder="1" applyAlignment="1" applyProtection="1">
      <alignment horizontal="center" vertical="center"/>
      <protection hidden="1" locked="0"/>
    </xf>
    <xf numFmtId="0" fontId="0" fillId="0" borderId="0" xfId="0"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29" fillId="0" borderId="0" xfId="0" applyFont="1" applyFill="1" applyBorder="1" applyAlignment="1" applyProtection="1">
      <alignment vertical="center"/>
      <protection/>
    </xf>
    <xf numFmtId="0" fontId="0" fillId="70" borderId="104" xfId="0" applyFill="1" applyBorder="1" applyAlignment="1" applyProtection="1">
      <alignment horizontal="center"/>
      <protection/>
    </xf>
    <xf numFmtId="0" fontId="25" fillId="56" borderId="143" xfId="0" applyFont="1" applyFill="1" applyBorder="1" applyAlignment="1" applyProtection="1">
      <alignment horizontal="center" vertical="center" wrapText="1"/>
      <protection/>
    </xf>
    <xf numFmtId="0" fontId="25" fillId="56" borderId="28" xfId="0" applyFont="1" applyFill="1" applyBorder="1" applyAlignment="1" applyProtection="1">
      <alignment horizontal="center" vertical="center"/>
      <protection hidden="1"/>
    </xf>
    <xf numFmtId="0" fontId="44" fillId="35" borderId="122" xfId="0" applyFont="1" applyFill="1" applyBorder="1" applyAlignment="1" applyProtection="1">
      <alignment horizontal="center" vertical="center"/>
      <protection hidden="1" locked="0"/>
    </xf>
    <xf numFmtId="0" fontId="44" fillId="35" borderId="81" xfId="0" applyFont="1" applyFill="1" applyBorder="1" applyAlignment="1" applyProtection="1">
      <alignment horizontal="center" vertical="center"/>
      <protection hidden="1" locked="0"/>
    </xf>
    <xf numFmtId="0" fontId="44" fillId="35" borderId="14" xfId="0" applyFont="1" applyFill="1" applyBorder="1" applyAlignment="1" applyProtection="1">
      <alignment horizontal="center" vertical="center"/>
      <protection hidden="1" locked="0"/>
    </xf>
    <xf numFmtId="0" fontId="44" fillId="35" borderId="119" xfId="0" applyFont="1" applyFill="1" applyBorder="1" applyAlignment="1" applyProtection="1">
      <alignment horizontal="center" vertical="center"/>
      <protection hidden="1" locked="0"/>
    </xf>
    <xf numFmtId="0" fontId="44" fillId="35" borderId="175" xfId="0" applyFont="1" applyFill="1" applyBorder="1" applyAlignment="1" applyProtection="1">
      <alignment horizontal="center" vertical="center"/>
      <protection locked="0"/>
    </xf>
    <xf numFmtId="0" fontId="0" fillId="46" borderId="0" xfId="0" applyFill="1" applyAlignment="1" applyProtection="1">
      <alignment/>
      <protection/>
    </xf>
    <xf numFmtId="0" fontId="0" fillId="46" borderId="0" xfId="0" applyNumberFormat="1" applyFill="1" applyAlignment="1" applyProtection="1">
      <alignment horizontal="center"/>
      <protection/>
    </xf>
    <xf numFmtId="1" fontId="33" fillId="53" borderId="81" xfId="0" applyNumberFormat="1" applyFont="1" applyFill="1" applyBorder="1" applyAlignment="1" applyProtection="1">
      <alignment horizontal="center" vertical="center"/>
      <protection/>
    </xf>
    <xf numFmtId="0" fontId="44" fillId="34" borderId="15" xfId="0" applyFont="1" applyFill="1" applyBorder="1" applyAlignment="1" applyProtection="1">
      <alignment horizontal="center" vertical="center"/>
      <protection hidden="1"/>
    </xf>
    <xf numFmtId="0" fontId="44" fillId="34" borderId="25" xfId="0" applyFont="1" applyFill="1" applyBorder="1" applyAlignment="1" applyProtection="1">
      <alignment horizontal="center" vertical="center"/>
      <protection hidden="1"/>
    </xf>
    <xf numFmtId="1" fontId="29" fillId="34" borderId="15" xfId="0" applyNumberFormat="1" applyFont="1" applyFill="1" applyBorder="1" applyAlignment="1" applyProtection="1">
      <alignment horizontal="center" vertical="center"/>
      <protection/>
    </xf>
    <xf numFmtId="1" fontId="29" fillId="34" borderId="64" xfId="0" applyNumberFormat="1" applyFont="1" applyFill="1" applyBorder="1" applyAlignment="1" applyProtection="1">
      <alignment horizontal="center" vertical="center"/>
      <protection/>
    </xf>
    <xf numFmtId="0" fontId="44" fillId="34" borderId="16" xfId="0" applyFont="1" applyFill="1" applyBorder="1" applyAlignment="1" applyProtection="1">
      <alignment horizontal="center" vertical="center"/>
      <protection hidden="1"/>
    </xf>
    <xf numFmtId="0" fontId="44" fillId="34" borderId="42" xfId="0" applyFont="1" applyFill="1" applyBorder="1" applyAlignment="1" applyProtection="1">
      <alignment horizontal="center" vertical="center"/>
      <protection hidden="1"/>
    </xf>
    <xf numFmtId="1" fontId="29" fillId="34" borderId="16" xfId="0" applyNumberFormat="1" applyFont="1" applyFill="1" applyBorder="1" applyAlignment="1" applyProtection="1">
      <alignment horizontal="center" vertical="center"/>
      <protection/>
    </xf>
    <xf numFmtId="1" fontId="29" fillId="34" borderId="14" xfId="0" applyNumberFormat="1" applyFont="1" applyFill="1" applyBorder="1" applyAlignment="1" applyProtection="1">
      <alignment horizontal="center" vertical="center"/>
      <protection/>
    </xf>
    <xf numFmtId="0" fontId="44" fillId="34" borderId="11" xfId="0" applyFont="1" applyFill="1" applyBorder="1" applyAlignment="1" applyProtection="1">
      <alignment horizontal="center" vertical="center"/>
      <protection hidden="1"/>
    </xf>
    <xf numFmtId="0" fontId="44" fillId="34" borderId="88" xfId="0" applyFont="1" applyFill="1" applyBorder="1" applyAlignment="1" applyProtection="1">
      <alignment horizontal="center" vertical="center"/>
      <protection hidden="1"/>
    </xf>
    <xf numFmtId="1" fontId="29" fillId="34" borderId="11" xfId="0" applyNumberFormat="1" applyFont="1" applyFill="1" applyBorder="1" applyAlignment="1" applyProtection="1">
      <alignment horizontal="center" vertical="center"/>
      <protection/>
    </xf>
    <xf numFmtId="1" fontId="29" fillId="34" borderId="67" xfId="0" applyNumberFormat="1" applyFont="1" applyFill="1" applyBorder="1" applyAlignment="1" applyProtection="1">
      <alignment horizontal="center" vertical="center"/>
      <protection/>
    </xf>
    <xf numFmtId="0" fontId="0" fillId="72" borderId="0" xfId="0" applyFill="1" applyBorder="1" applyAlignment="1" applyProtection="1">
      <alignment horizontal="center"/>
      <protection/>
    </xf>
    <xf numFmtId="0" fontId="0" fillId="0" borderId="86" xfId="0" applyNumberFormat="1" applyFont="1" applyFill="1" applyBorder="1" applyAlignment="1" applyProtection="1">
      <alignment horizontal="center"/>
      <protection/>
    </xf>
    <xf numFmtId="0" fontId="0" fillId="0" borderId="0" xfId="0" applyNumberFormat="1" applyFont="1" applyFill="1" applyBorder="1" applyAlignment="1" applyProtection="1">
      <alignment horizontal="center"/>
      <protection/>
    </xf>
    <xf numFmtId="1" fontId="33" fillId="34" borderId="176" xfId="0" applyNumberFormat="1" applyFont="1" applyFill="1" applyBorder="1" applyAlignment="1" applyProtection="1">
      <alignment horizontal="center" vertical="center"/>
      <protection/>
    </xf>
    <xf numFmtId="1" fontId="33" fillId="34" borderId="177" xfId="0" applyNumberFormat="1" applyFont="1" applyFill="1" applyBorder="1" applyAlignment="1" applyProtection="1">
      <alignment horizontal="center" vertical="center"/>
      <protection/>
    </xf>
    <xf numFmtId="1" fontId="33" fillId="34" borderId="178" xfId="0" applyNumberFormat="1" applyFont="1" applyFill="1" applyBorder="1" applyAlignment="1" applyProtection="1">
      <alignment horizontal="center" vertical="center"/>
      <protection/>
    </xf>
    <xf numFmtId="0" fontId="0" fillId="0" borderId="133" xfId="0" applyFont="1" applyFill="1" applyBorder="1" applyAlignment="1" applyProtection="1">
      <alignment/>
      <protection/>
    </xf>
    <xf numFmtId="0" fontId="0" fillId="0" borderId="104" xfId="0" applyFill="1" applyBorder="1" applyAlignment="1" applyProtection="1">
      <alignment/>
      <protection/>
    </xf>
    <xf numFmtId="0" fontId="0" fillId="0" borderId="134" xfId="0" applyFill="1" applyBorder="1" applyAlignment="1" applyProtection="1">
      <alignment/>
      <protection/>
    </xf>
    <xf numFmtId="0" fontId="0" fillId="0" borderId="129" xfId="0" applyFill="1" applyBorder="1" applyAlignment="1" applyProtection="1">
      <alignment horizontal="right"/>
      <protection/>
    </xf>
    <xf numFmtId="0" fontId="0" fillId="0" borderId="130" xfId="0" applyFill="1" applyBorder="1" applyAlignment="1" applyProtection="1">
      <alignment horizontal="right"/>
      <protection/>
    </xf>
    <xf numFmtId="0" fontId="0" fillId="0" borderId="129" xfId="0" applyFill="1" applyBorder="1" applyAlignment="1" applyProtection="1">
      <alignment horizontal="center"/>
      <protection/>
    </xf>
    <xf numFmtId="0" fontId="0" fillId="0" borderId="130" xfId="0" applyFill="1" applyBorder="1" applyAlignment="1" applyProtection="1">
      <alignment horizontal="center"/>
      <protection/>
    </xf>
    <xf numFmtId="0" fontId="0" fillId="0" borderId="131" xfId="0" applyFill="1" applyBorder="1" applyAlignment="1" applyProtection="1">
      <alignment horizontal="center"/>
      <protection/>
    </xf>
    <xf numFmtId="0" fontId="0" fillId="0" borderId="0" xfId="0" applyBorder="1" applyAlignment="1" applyProtection="1">
      <alignment/>
      <protection/>
    </xf>
    <xf numFmtId="14" fontId="25" fillId="0" borderId="0" xfId="0" applyNumberFormat="1" applyFont="1" applyBorder="1" applyAlignment="1" applyProtection="1">
      <alignment horizontal="center"/>
      <protection hidden="1"/>
    </xf>
    <xf numFmtId="0" fontId="0" fillId="46" borderId="0" xfId="0" applyFont="1" applyFill="1" applyAlignment="1" applyProtection="1">
      <alignment/>
      <protection/>
    </xf>
    <xf numFmtId="0" fontId="26" fillId="0" borderId="0" xfId="0" applyFont="1" applyFill="1" applyBorder="1" applyAlignment="1" applyProtection="1">
      <alignment vertical="center"/>
      <protection hidden="1"/>
    </xf>
    <xf numFmtId="0" fontId="0" fillId="0" borderId="0" xfId="0" applyFont="1" applyFill="1" applyBorder="1" applyAlignment="1" applyProtection="1">
      <alignment/>
      <protection/>
    </xf>
    <xf numFmtId="2" fontId="0" fillId="0" borderId="0" xfId="0" applyNumberFormat="1" applyBorder="1" applyAlignment="1" applyProtection="1">
      <alignment/>
      <protection/>
    </xf>
    <xf numFmtId="0" fontId="0" fillId="73" borderId="0" xfId="0" applyFill="1" applyAlignment="1" applyProtection="1">
      <alignment horizontal="center"/>
      <protection/>
    </xf>
    <xf numFmtId="0" fontId="0" fillId="73" borderId="0" xfId="0" applyFill="1" applyBorder="1" applyAlignment="1" applyProtection="1">
      <alignment horizontal="center"/>
      <protection/>
    </xf>
    <xf numFmtId="0" fontId="0" fillId="0" borderId="0" xfId="0" applyFill="1" applyAlignment="1" applyProtection="1">
      <alignment horizontal="right"/>
      <protection locked="0"/>
    </xf>
    <xf numFmtId="0" fontId="0" fillId="0" borderId="0" xfId="0" applyFill="1" applyAlignment="1" applyProtection="1">
      <alignment horizontal="center"/>
      <protection locked="0"/>
    </xf>
    <xf numFmtId="0" fontId="0" fillId="0" borderId="0" xfId="0" applyFill="1" applyAlignment="1" applyProtection="1">
      <alignment horizontal="center" wrapText="1"/>
      <protection locked="0"/>
    </xf>
    <xf numFmtId="0" fontId="0" fillId="0" borderId="0" xfId="0" applyFill="1" applyAlignment="1" applyProtection="1">
      <alignment/>
      <protection locked="0"/>
    </xf>
    <xf numFmtId="0" fontId="0" fillId="0" borderId="0" xfId="0" applyFill="1" applyAlignment="1" applyProtection="1">
      <alignment/>
      <protection locked="0"/>
    </xf>
    <xf numFmtId="0" fontId="0" fillId="0" borderId="0" xfId="0" applyFill="1" applyAlignment="1" applyProtection="1">
      <alignment wrapText="1"/>
      <protection locked="0"/>
    </xf>
    <xf numFmtId="0" fontId="0" fillId="0" borderId="0" xfId="0" applyFont="1" applyFill="1" applyAlignment="1" applyProtection="1">
      <alignment/>
      <protection locked="0"/>
    </xf>
    <xf numFmtId="0" fontId="70" fillId="0" borderId="0" xfId="0" applyFont="1" applyBorder="1" applyAlignment="1" applyProtection="1">
      <alignment/>
      <protection hidden="1"/>
    </xf>
    <xf numFmtId="0" fontId="25" fillId="0" borderId="0" xfId="0" applyFont="1" applyFill="1" applyAlignment="1" applyProtection="1">
      <alignment wrapText="1"/>
      <protection/>
    </xf>
    <xf numFmtId="0" fontId="0" fillId="73" borderId="129" xfId="0" applyFill="1" applyBorder="1" applyAlignment="1" applyProtection="1">
      <alignment horizontal="center"/>
      <protection/>
    </xf>
    <xf numFmtId="0" fontId="0" fillId="73" borderId="130" xfId="0" applyFill="1" applyBorder="1" applyAlignment="1" applyProtection="1">
      <alignment horizontal="center"/>
      <protection/>
    </xf>
    <xf numFmtId="0" fontId="0" fillId="0" borderId="130" xfId="0" applyFill="1" applyBorder="1" applyAlignment="1" applyProtection="1">
      <alignment/>
      <protection/>
    </xf>
    <xf numFmtId="0" fontId="0" fillId="0" borderId="129" xfId="0" applyFill="1" applyBorder="1" applyAlignment="1" applyProtection="1">
      <alignment vertical="center"/>
      <protection/>
    </xf>
    <xf numFmtId="0" fontId="0" fillId="0" borderId="131" xfId="0" applyFill="1" applyBorder="1" applyAlignment="1" applyProtection="1">
      <alignment vertical="center"/>
      <protection/>
    </xf>
    <xf numFmtId="0" fontId="0" fillId="0" borderId="86" xfId="0" applyFill="1" applyBorder="1" applyAlignment="1" applyProtection="1">
      <alignment vertical="center"/>
      <protection/>
    </xf>
    <xf numFmtId="0" fontId="0" fillId="0" borderId="132" xfId="0" applyFill="1" applyBorder="1" applyAlignment="1" applyProtection="1">
      <alignment/>
      <protection/>
    </xf>
    <xf numFmtId="0" fontId="0" fillId="73" borderId="131" xfId="0" applyFill="1" applyBorder="1" applyAlignment="1" applyProtection="1">
      <alignment horizontal="center"/>
      <protection/>
    </xf>
    <xf numFmtId="0" fontId="0" fillId="73" borderId="86" xfId="0" applyFill="1" applyBorder="1" applyAlignment="1" applyProtection="1">
      <alignment horizontal="center"/>
      <protection/>
    </xf>
    <xf numFmtId="0" fontId="0" fillId="73" borderId="132" xfId="0" applyFill="1" applyBorder="1" applyAlignment="1" applyProtection="1">
      <alignment horizontal="center"/>
      <protection/>
    </xf>
    <xf numFmtId="0" fontId="25" fillId="73" borderId="0" xfId="0" applyFont="1" applyFill="1" applyBorder="1" applyAlignment="1" applyProtection="1">
      <alignment horizontal="center" vertical="center"/>
      <protection/>
    </xf>
    <xf numFmtId="1" fontId="79" fillId="0" borderId="0" xfId="0" applyNumberFormat="1" applyFont="1" applyFill="1" applyBorder="1" applyAlignment="1" applyProtection="1">
      <alignment horizontal="center" vertical="center"/>
      <protection/>
    </xf>
    <xf numFmtId="1" fontId="35" fillId="0" borderId="0" xfId="0" applyNumberFormat="1" applyFont="1" applyFill="1" applyBorder="1" applyAlignment="1" applyProtection="1">
      <alignment horizontal="center" vertical="center"/>
      <protection hidden="1"/>
    </xf>
    <xf numFmtId="0" fontId="35" fillId="0" borderId="0" xfId="0" applyFont="1" applyFill="1" applyBorder="1" applyAlignment="1" applyProtection="1">
      <alignment horizontal="center" vertical="center"/>
      <protection hidden="1"/>
    </xf>
    <xf numFmtId="1" fontId="80" fillId="0" borderId="0" xfId="0" applyNumberFormat="1" applyFont="1" applyFill="1" applyBorder="1" applyAlignment="1" applyProtection="1">
      <alignment horizontal="center" vertical="center"/>
      <protection/>
    </xf>
    <xf numFmtId="0" fontId="50" fillId="0" borderId="0" xfId="0" applyFont="1" applyFill="1" applyBorder="1" applyAlignment="1" applyProtection="1">
      <alignment vertical="top"/>
      <protection/>
    </xf>
    <xf numFmtId="0" fontId="46" fillId="0" borderId="0" xfId="0" applyFont="1" applyFill="1" applyBorder="1" applyAlignment="1" applyProtection="1">
      <alignment vertical="top"/>
      <protection/>
    </xf>
    <xf numFmtId="0" fontId="0" fillId="74" borderId="0" xfId="0" applyFill="1" applyAlignment="1" applyProtection="1">
      <alignment/>
      <protection/>
    </xf>
    <xf numFmtId="0" fontId="0" fillId="74" borderId="0" xfId="0" applyFill="1" applyAlignment="1" applyProtection="1">
      <alignment horizontal="center"/>
      <protection/>
    </xf>
    <xf numFmtId="0" fontId="0" fillId="74" borderId="86" xfId="0" applyFill="1" applyBorder="1" applyAlignment="1" applyProtection="1">
      <alignment horizontal="center"/>
      <protection/>
    </xf>
    <xf numFmtId="0" fontId="0" fillId="74" borderId="0" xfId="0" applyFill="1" applyBorder="1" applyAlignment="1" applyProtection="1">
      <alignment horizontal="center"/>
      <protection/>
    </xf>
    <xf numFmtId="0" fontId="0" fillId="0" borderId="86" xfId="0" applyFill="1" applyBorder="1" applyAlignment="1" applyProtection="1">
      <alignment/>
      <protection/>
    </xf>
    <xf numFmtId="1" fontId="0" fillId="73" borderId="0" xfId="0" applyNumberFormat="1" applyFill="1" applyBorder="1" applyAlignment="1">
      <alignment horizontal="center"/>
    </xf>
    <xf numFmtId="1" fontId="0" fillId="73" borderId="86" xfId="0" applyNumberFormat="1" applyFill="1" applyBorder="1" applyAlignment="1">
      <alignment horizontal="center"/>
    </xf>
    <xf numFmtId="0" fontId="0" fillId="75" borderId="0" xfId="0" applyFill="1" applyAlignment="1" applyProtection="1">
      <alignment horizontal="center"/>
      <protection/>
    </xf>
    <xf numFmtId="0" fontId="0" fillId="0" borderId="86" xfId="0" applyBorder="1" applyAlignment="1">
      <alignment/>
    </xf>
    <xf numFmtId="0" fontId="0" fillId="76" borderId="86" xfId="0" applyFill="1" applyBorder="1" applyAlignment="1" applyProtection="1">
      <alignment/>
      <protection/>
    </xf>
    <xf numFmtId="1" fontId="0" fillId="76" borderId="0" xfId="0" applyNumberFormat="1" applyFill="1" applyAlignment="1" applyProtection="1">
      <alignment horizontal="center"/>
      <protection/>
    </xf>
    <xf numFmtId="0" fontId="0" fillId="76" borderId="0" xfId="0" applyFill="1" applyAlignment="1" applyProtection="1">
      <alignment/>
      <protection/>
    </xf>
    <xf numFmtId="0" fontId="0" fillId="76" borderId="0" xfId="0" applyFill="1" applyBorder="1" applyAlignment="1" applyProtection="1">
      <alignment horizontal="center"/>
      <protection/>
    </xf>
    <xf numFmtId="0" fontId="0" fillId="0" borderId="130" xfId="0" applyBorder="1" applyAlignment="1" applyProtection="1">
      <alignment horizontal="center"/>
      <protection/>
    </xf>
    <xf numFmtId="0" fontId="0" fillId="10" borderId="132" xfId="0" applyFill="1" applyBorder="1" applyAlignment="1" applyProtection="1">
      <alignment horizontal="center"/>
      <protection/>
    </xf>
    <xf numFmtId="0" fontId="0" fillId="10" borderId="86" xfId="0" applyFill="1" applyBorder="1" applyAlignment="1" applyProtection="1">
      <alignment horizontal="center"/>
      <protection/>
    </xf>
    <xf numFmtId="0" fontId="0" fillId="10" borderId="0" xfId="0" applyFill="1" applyAlignment="1">
      <alignment horizontal="center"/>
    </xf>
    <xf numFmtId="0" fontId="0" fillId="10" borderId="130" xfId="0" applyFill="1" applyBorder="1" applyAlignment="1">
      <alignment/>
    </xf>
    <xf numFmtId="1" fontId="0" fillId="0" borderId="132" xfId="0" applyNumberFormat="1" applyBorder="1" applyAlignment="1" applyProtection="1">
      <alignment/>
      <protection/>
    </xf>
    <xf numFmtId="0" fontId="0" fillId="0" borderId="130" xfId="0" applyBorder="1" applyAlignment="1" applyProtection="1">
      <alignment/>
      <protection/>
    </xf>
    <xf numFmtId="2" fontId="41" fillId="34" borderId="114" xfId="0" applyNumberFormat="1" applyFont="1" applyFill="1" applyBorder="1" applyAlignment="1" applyProtection="1">
      <alignment horizontal="right" vertical="center"/>
      <protection/>
    </xf>
    <xf numFmtId="0" fontId="41" fillId="34" borderId="179" xfId="0" applyFont="1" applyFill="1" applyBorder="1" applyAlignment="1" applyProtection="1">
      <alignment horizontal="center" vertical="center"/>
      <protection/>
    </xf>
    <xf numFmtId="0" fontId="16" fillId="36" borderId="144" xfId="0" applyFont="1" applyFill="1" applyBorder="1" applyAlignment="1" applyProtection="1">
      <alignment horizontal="center" vertical="center"/>
      <protection hidden="1"/>
    </xf>
    <xf numFmtId="0" fontId="0" fillId="47" borderId="91" xfId="0" applyFill="1" applyBorder="1" applyAlignment="1" applyProtection="1">
      <alignment horizontal="center" vertical="center"/>
      <protection hidden="1"/>
    </xf>
    <xf numFmtId="0" fontId="0" fillId="47" borderId="92" xfId="0" applyFont="1" applyFill="1" applyBorder="1" applyAlignment="1" applyProtection="1">
      <alignment horizontal="center" vertical="center"/>
      <protection hidden="1"/>
    </xf>
    <xf numFmtId="0" fontId="32" fillId="47" borderId="75" xfId="0" applyFont="1" applyFill="1" applyBorder="1" applyAlignment="1" applyProtection="1">
      <alignment horizontal="center" vertical="center"/>
      <protection hidden="1"/>
    </xf>
    <xf numFmtId="0" fontId="32" fillId="47" borderId="59" xfId="0" applyFont="1" applyFill="1" applyBorder="1" applyAlignment="1" applyProtection="1">
      <alignment horizontal="center" vertical="center"/>
      <protection hidden="1"/>
    </xf>
    <xf numFmtId="1" fontId="16" fillId="36" borderId="58" xfId="0" applyNumberFormat="1" applyFont="1" applyFill="1" applyBorder="1" applyAlignment="1" applyProtection="1">
      <alignment horizontal="center" vertical="center"/>
      <protection hidden="1"/>
    </xf>
    <xf numFmtId="1" fontId="48" fillId="36" borderId="69" xfId="0" applyNumberFormat="1" applyFont="1" applyFill="1" applyBorder="1" applyAlignment="1" applyProtection="1">
      <alignment horizontal="center" vertical="center"/>
      <protection/>
    </xf>
    <xf numFmtId="0" fontId="25" fillId="34" borderId="73" xfId="0" applyFont="1" applyFill="1" applyBorder="1" applyAlignment="1" applyProtection="1">
      <alignment horizontal="center" vertical="center"/>
      <protection/>
    </xf>
    <xf numFmtId="0" fontId="25" fillId="34" borderId="180" xfId="0" applyFont="1" applyFill="1" applyBorder="1" applyAlignment="1" applyProtection="1">
      <alignment horizontal="center" vertical="center"/>
      <protection/>
    </xf>
    <xf numFmtId="0" fontId="25" fillId="36" borderId="70" xfId="0" applyFont="1" applyFill="1" applyBorder="1" applyAlignment="1" applyProtection="1">
      <alignment horizontal="center" vertical="center"/>
      <protection/>
    </xf>
    <xf numFmtId="0" fontId="25" fillId="35" borderId="74" xfId="0" applyFont="1" applyFill="1" applyBorder="1" applyAlignment="1" applyProtection="1">
      <alignment vertical="center" wrapText="1"/>
      <protection/>
    </xf>
    <xf numFmtId="0" fontId="25" fillId="35" borderId="67" xfId="0" applyFont="1" applyFill="1" applyBorder="1" applyAlignment="1" applyProtection="1">
      <alignment vertical="center" wrapText="1"/>
      <protection/>
    </xf>
    <xf numFmtId="0" fontId="25" fillId="34" borderId="181" xfId="0" applyFont="1" applyFill="1" applyBorder="1" applyAlignment="1" applyProtection="1">
      <alignment horizontal="center" vertical="center"/>
      <protection/>
    </xf>
    <xf numFmtId="0" fontId="25" fillId="48" borderId="28" xfId="0" applyFont="1" applyFill="1" applyBorder="1" applyAlignment="1" applyProtection="1">
      <alignment horizontal="center" vertical="center"/>
      <protection/>
    </xf>
    <xf numFmtId="0" fontId="25" fillId="48" borderId="63" xfId="0" applyFont="1" applyFill="1" applyBorder="1" applyAlignment="1" applyProtection="1">
      <alignment horizontal="center" vertical="center"/>
      <protection/>
    </xf>
    <xf numFmtId="0" fontId="26" fillId="34" borderId="49" xfId="0" applyFont="1" applyFill="1" applyBorder="1" applyAlignment="1" applyProtection="1">
      <alignment horizontal="center" vertical="center" wrapText="1"/>
      <protection/>
    </xf>
    <xf numFmtId="0" fontId="26" fillId="48" borderId="143" xfId="0" applyFont="1" applyFill="1" applyBorder="1" applyAlignment="1" applyProtection="1">
      <alignment horizontal="center" vertical="center"/>
      <protection/>
    </xf>
    <xf numFmtId="0" fontId="26" fillId="48" borderId="66" xfId="0" applyFont="1" applyFill="1" applyBorder="1" applyAlignment="1" applyProtection="1">
      <alignment horizontal="center" vertical="center"/>
      <protection/>
    </xf>
    <xf numFmtId="0" fontId="26" fillId="34" borderId="23" xfId="0" applyFont="1" applyFill="1" applyBorder="1" applyAlignment="1" applyProtection="1">
      <alignment horizontal="center" vertical="center" wrapText="1"/>
      <protection/>
    </xf>
    <xf numFmtId="0" fontId="26" fillId="34" borderId="61" xfId="0" applyFont="1" applyFill="1" applyBorder="1" applyAlignment="1" applyProtection="1">
      <alignment horizontal="center" vertical="center" wrapText="1"/>
      <protection/>
    </xf>
    <xf numFmtId="0" fontId="26" fillId="36" borderId="107" xfId="0" applyFont="1" applyFill="1" applyBorder="1" applyAlignment="1" applyProtection="1">
      <alignment horizontal="center" vertical="center"/>
      <protection/>
    </xf>
    <xf numFmtId="0" fontId="26" fillId="36" borderId="13" xfId="0" applyFont="1" applyFill="1" applyBorder="1" applyAlignment="1" applyProtection="1">
      <alignment horizontal="center" vertical="center"/>
      <protection/>
    </xf>
    <xf numFmtId="0" fontId="25" fillId="35" borderId="63" xfId="0" applyFont="1" applyFill="1" applyBorder="1" applyAlignment="1" applyProtection="1">
      <alignment horizontal="center" vertical="center" wrapText="1"/>
      <protection/>
    </xf>
    <xf numFmtId="0" fontId="25" fillId="35" borderId="106" xfId="0" applyFont="1" applyFill="1" applyBorder="1" applyAlignment="1" applyProtection="1">
      <alignment horizontal="center" vertical="center" wrapText="1"/>
      <protection/>
    </xf>
    <xf numFmtId="1" fontId="33" fillId="34" borderId="182" xfId="0" applyNumberFormat="1" applyFont="1" applyFill="1" applyBorder="1" applyAlignment="1" applyProtection="1">
      <alignment horizontal="center" vertical="center"/>
      <protection/>
    </xf>
    <xf numFmtId="0" fontId="16" fillId="36" borderId="61" xfId="0" applyFont="1" applyFill="1" applyBorder="1" applyAlignment="1" applyProtection="1">
      <alignment horizontal="center" vertical="center"/>
      <protection hidden="1"/>
    </xf>
    <xf numFmtId="1" fontId="33" fillId="34" borderId="82" xfId="0" applyNumberFormat="1" applyFont="1" applyFill="1" applyBorder="1" applyAlignment="1" applyProtection="1">
      <alignment horizontal="center" vertical="center"/>
      <protection/>
    </xf>
    <xf numFmtId="0" fontId="16" fillId="36" borderId="183" xfId="0" applyFont="1" applyFill="1" applyBorder="1" applyAlignment="1" applyProtection="1">
      <alignment horizontal="center" vertical="center"/>
      <protection hidden="1"/>
    </xf>
    <xf numFmtId="0" fontId="25" fillId="0" borderId="15" xfId="0" applyFont="1" applyFill="1" applyBorder="1" applyAlignment="1" applyProtection="1">
      <alignment horizontal="center" vertical="center" wrapText="1"/>
      <protection/>
    </xf>
    <xf numFmtId="0" fontId="16" fillId="33" borderId="184" xfId="0" applyFont="1" applyFill="1" applyBorder="1" applyAlignment="1" applyProtection="1">
      <alignment horizontal="center" vertical="center"/>
      <protection hidden="1"/>
    </xf>
    <xf numFmtId="0" fontId="16" fillId="33" borderId="153" xfId="0" applyFont="1" applyFill="1" applyBorder="1" applyAlignment="1" applyProtection="1">
      <alignment horizontal="center" vertical="center"/>
      <protection hidden="1"/>
    </xf>
    <xf numFmtId="0" fontId="26" fillId="35" borderId="25" xfId="0" applyFont="1" applyFill="1" applyBorder="1" applyAlignment="1" applyProtection="1">
      <alignment horizontal="center" vertical="center"/>
      <protection/>
    </xf>
    <xf numFmtId="0" fontId="26" fillId="35" borderId="182" xfId="0" applyFont="1" applyFill="1" applyBorder="1" applyAlignment="1" applyProtection="1">
      <alignment horizontal="center" vertical="center"/>
      <protection/>
    </xf>
    <xf numFmtId="0" fontId="26" fillId="35" borderId="64" xfId="0" applyFont="1" applyFill="1" applyBorder="1" applyAlignment="1" applyProtection="1">
      <alignment horizontal="center" vertical="center"/>
      <protection hidden="1"/>
    </xf>
    <xf numFmtId="0" fontId="26" fillId="35" borderId="83" xfId="0" applyFont="1" applyFill="1" applyBorder="1" applyAlignment="1" applyProtection="1">
      <alignment horizontal="center" vertical="center"/>
      <protection hidden="1"/>
    </xf>
    <xf numFmtId="0" fontId="0" fillId="0" borderId="185" xfId="0" applyBorder="1" applyAlignment="1">
      <alignment horizontal="right"/>
    </xf>
    <xf numFmtId="0" fontId="0" fillId="0" borderId="93" xfId="0" applyBorder="1" applyAlignment="1" applyProtection="1">
      <alignment horizontal="center"/>
      <protection/>
    </xf>
    <xf numFmtId="0" fontId="0" fillId="0" borderId="0" xfId="0" applyBorder="1" applyAlignment="1" applyProtection="1">
      <alignment horizontal="right"/>
      <protection/>
    </xf>
    <xf numFmtId="0" fontId="0" fillId="0" borderId="185" xfId="0" applyBorder="1" applyAlignment="1" applyProtection="1">
      <alignment horizontal="center"/>
      <protection/>
    </xf>
    <xf numFmtId="0" fontId="0" fillId="0" borderId="93" xfId="0" applyFill="1" applyBorder="1" applyAlignment="1" applyProtection="1">
      <alignment horizontal="center"/>
      <protection/>
    </xf>
    <xf numFmtId="0" fontId="0" fillId="0" borderId="186" xfId="0" applyBorder="1" applyAlignment="1">
      <alignment/>
    </xf>
    <xf numFmtId="0" fontId="69" fillId="0" borderId="0" xfId="0" applyFont="1" applyAlignment="1" applyProtection="1">
      <alignment horizontal="center"/>
      <protection/>
    </xf>
    <xf numFmtId="0" fontId="0" fillId="73" borderId="0" xfId="0" applyFill="1" applyAlignment="1" applyProtection="1">
      <alignment horizontal="center"/>
      <protection/>
    </xf>
    <xf numFmtId="0" fontId="0" fillId="76" borderId="0" xfId="0" applyFont="1" applyFill="1" applyBorder="1" applyAlignment="1" applyProtection="1">
      <alignment horizontal="center"/>
      <protection/>
    </xf>
    <xf numFmtId="0" fontId="0" fillId="77" borderId="0" xfId="0" applyFill="1" applyAlignment="1" applyProtection="1">
      <alignment horizontal="center"/>
      <protection/>
    </xf>
    <xf numFmtId="0" fontId="0" fillId="77" borderId="0" xfId="0" applyFill="1" applyBorder="1" applyAlignment="1" applyProtection="1">
      <alignment horizontal="center"/>
      <protection/>
    </xf>
    <xf numFmtId="0" fontId="0" fillId="75" borderId="0" xfId="0" applyFont="1" applyFill="1" applyBorder="1" applyAlignment="1" applyProtection="1">
      <alignment horizontal="center"/>
      <protection/>
    </xf>
    <xf numFmtId="0" fontId="81" fillId="0" borderId="0" xfId="0" applyFont="1" applyFill="1" applyBorder="1" applyAlignment="1" applyProtection="1">
      <alignment horizontal="left" vertical="top" wrapText="1"/>
      <protection/>
    </xf>
    <xf numFmtId="0" fontId="24" fillId="0" borderId="0" xfId="0" applyFont="1" applyFill="1" applyBorder="1" applyAlignment="1" applyProtection="1">
      <alignment vertical="top" wrapText="1"/>
      <protection/>
    </xf>
    <xf numFmtId="0" fontId="24" fillId="0" borderId="0" xfId="0" applyFont="1" applyBorder="1" applyAlignment="1" applyProtection="1">
      <alignment vertical="top" wrapText="1"/>
      <protection/>
    </xf>
    <xf numFmtId="0" fontId="0" fillId="73" borderId="0" xfId="0" applyFill="1" applyBorder="1" applyAlignment="1" applyProtection="1">
      <alignment/>
      <protection/>
    </xf>
    <xf numFmtId="2" fontId="0" fillId="73" borderId="0" xfId="0" applyNumberFormat="1" applyFill="1" applyBorder="1" applyAlignment="1" applyProtection="1">
      <alignment/>
      <protection/>
    </xf>
    <xf numFmtId="0" fontId="0" fillId="73" borderId="0" xfId="0" applyFill="1" applyAlignment="1" applyProtection="1">
      <alignment/>
      <protection/>
    </xf>
    <xf numFmtId="0" fontId="26" fillId="0" borderId="0" xfId="0" applyFont="1" applyFill="1" applyBorder="1" applyAlignment="1" applyProtection="1">
      <alignment horizontal="center" vertical="center" wrapText="1"/>
      <protection/>
    </xf>
    <xf numFmtId="0" fontId="44" fillId="0" borderId="0" xfId="0" applyFont="1" applyFill="1" applyBorder="1" applyAlignment="1" applyProtection="1">
      <alignment horizontal="center"/>
      <protection/>
    </xf>
    <xf numFmtId="0" fontId="0" fillId="0" borderId="0" xfId="0" applyFill="1" applyBorder="1" applyAlignment="1" applyProtection="1">
      <alignment vertical="top" wrapText="1"/>
      <protection/>
    </xf>
    <xf numFmtId="0" fontId="25" fillId="0" borderId="0" xfId="0" applyFont="1" applyBorder="1" applyAlignment="1" applyProtection="1">
      <alignment horizontal="right"/>
      <protection/>
    </xf>
    <xf numFmtId="0" fontId="0" fillId="0" borderId="0" xfId="0" applyFont="1" applyFill="1" applyBorder="1" applyAlignment="1" applyProtection="1">
      <alignment horizontal="center" vertical="center"/>
      <protection hidden="1"/>
    </xf>
    <xf numFmtId="0" fontId="69" fillId="0" borderId="0" xfId="0" applyFont="1" applyFill="1" applyBorder="1" applyAlignment="1" applyProtection="1">
      <alignment vertical="center" wrapText="1"/>
      <protection/>
    </xf>
    <xf numFmtId="0" fontId="0" fillId="72" borderId="0" xfId="0" applyFill="1" applyBorder="1" applyAlignment="1">
      <alignment horizontal="right"/>
    </xf>
    <xf numFmtId="0" fontId="16" fillId="78" borderId="100" xfId="0" applyFont="1" applyFill="1" applyBorder="1" applyAlignment="1" applyProtection="1">
      <alignment horizontal="center" vertical="center"/>
      <protection locked="0"/>
    </xf>
    <xf numFmtId="0" fontId="16" fillId="78" borderId="42" xfId="0" applyFont="1" applyFill="1" applyBorder="1" applyAlignment="1" applyProtection="1">
      <alignment horizontal="center" vertical="center"/>
      <protection locked="0"/>
    </xf>
    <xf numFmtId="0" fontId="16" fillId="78" borderId="14" xfId="0" applyFont="1" applyFill="1" applyBorder="1" applyAlignment="1" applyProtection="1">
      <alignment horizontal="center" vertical="center"/>
      <protection locked="0"/>
    </xf>
    <xf numFmtId="0" fontId="0" fillId="64" borderId="0" xfId="0" applyFill="1" applyBorder="1" applyAlignment="1" applyProtection="1">
      <alignment horizontal="center" vertical="center"/>
      <protection/>
    </xf>
    <xf numFmtId="0" fontId="0" fillId="64" borderId="86" xfId="0" applyFill="1" applyBorder="1" applyAlignment="1" applyProtection="1">
      <alignment horizontal="center" vertical="center"/>
      <protection/>
    </xf>
    <xf numFmtId="0" fontId="82" fillId="0" borderId="0" xfId="0" applyFont="1" applyBorder="1" applyAlignment="1">
      <alignment horizontal="center"/>
    </xf>
    <xf numFmtId="0" fontId="25" fillId="36" borderId="70" xfId="0" applyFont="1" applyFill="1" applyBorder="1" applyAlignment="1" applyProtection="1">
      <alignment vertical="center"/>
      <protection/>
    </xf>
    <xf numFmtId="0" fontId="0" fillId="0" borderId="10" xfId="0" applyFill="1" applyBorder="1" applyAlignment="1" applyProtection="1">
      <alignment vertical="center"/>
      <protection/>
    </xf>
    <xf numFmtId="0" fontId="26" fillId="0" borderId="49" xfId="0" applyFont="1" applyFill="1" applyBorder="1" applyAlignment="1" applyProtection="1">
      <alignment horizontal="center" vertical="center" wrapText="1"/>
      <protection/>
    </xf>
    <xf numFmtId="0" fontId="35" fillId="73" borderId="0" xfId="0" applyFont="1" applyFill="1" applyBorder="1" applyAlignment="1" applyProtection="1">
      <alignment horizontal="center" vertical="center"/>
      <protection hidden="1"/>
    </xf>
    <xf numFmtId="1" fontId="0" fillId="0" borderId="0" xfId="0" applyNumberFormat="1" applyBorder="1" applyAlignment="1" applyProtection="1">
      <alignment horizontal="center"/>
      <protection/>
    </xf>
    <xf numFmtId="1" fontId="33" fillId="34" borderId="160" xfId="0" applyNumberFormat="1" applyFont="1" applyFill="1" applyBorder="1" applyAlignment="1" applyProtection="1">
      <alignment horizontal="center" vertical="center"/>
      <protection/>
    </xf>
    <xf numFmtId="0" fontId="26" fillId="48" borderId="98" xfId="0" applyFont="1" applyFill="1" applyBorder="1" applyAlignment="1" applyProtection="1">
      <alignment horizontal="center" vertical="center"/>
      <protection hidden="1"/>
    </xf>
    <xf numFmtId="0" fontId="26" fillId="48" borderId="187" xfId="0" applyFont="1" applyFill="1" applyBorder="1" applyAlignment="1" applyProtection="1">
      <alignment horizontal="center" vertical="center"/>
      <protection hidden="1"/>
    </xf>
    <xf numFmtId="1" fontId="33" fillId="34" borderId="188" xfId="0" applyNumberFormat="1" applyFont="1" applyFill="1" applyBorder="1" applyAlignment="1" applyProtection="1">
      <alignment horizontal="center" vertical="center"/>
      <protection/>
    </xf>
    <xf numFmtId="1" fontId="33" fillId="34" borderId="189" xfId="0" applyNumberFormat="1" applyFont="1" applyFill="1" applyBorder="1" applyAlignment="1" applyProtection="1">
      <alignment horizontal="center" vertical="center"/>
      <protection/>
    </xf>
    <xf numFmtId="0" fontId="0" fillId="79" borderId="0" xfId="0" applyFont="1" applyFill="1" applyBorder="1" applyAlignment="1" applyProtection="1">
      <alignment horizontal="center"/>
      <protection hidden="1"/>
    </xf>
    <xf numFmtId="0" fontId="0" fillId="80" borderId="0" xfId="0" applyFill="1" applyBorder="1" applyAlignment="1" applyProtection="1">
      <alignment horizontal="center"/>
      <protection/>
    </xf>
    <xf numFmtId="0" fontId="0" fillId="75" borderId="0" xfId="0" applyFill="1" applyBorder="1" applyAlignment="1" applyProtection="1">
      <alignment horizontal="center"/>
      <protection/>
    </xf>
    <xf numFmtId="0" fontId="81" fillId="0" borderId="0" xfId="0" applyFont="1" applyFill="1" applyBorder="1" applyAlignment="1" applyProtection="1">
      <alignment vertical="top" wrapText="1"/>
      <protection/>
    </xf>
    <xf numFmtId="0" fontId="114" fillId="0" borderId="0" xfId="0" applyFont="1" applyAlignment="1">
      <alignment horizontal="center"/>
    </xf>
    <xf numFmtId="1" fontId="114" fillId="0" borderId="0" xfId="0" applyNumberFormat="1" applyFont="1" applyAlignment="1">
      <alignment horizontal="center"/>
    </xf>
    <xf numFmtId="0" fontId="114" fillId="0" borderId="0" xfId="0" applyFont="1" applyAlignment="1" applyProtection="1">
      <alignment horizontal="center"/>
      <protection/>
    </xf>
    <xf numFmtId="0" fontId="114" fillId="64" borderId="0" xfId="0" applyFont="1" applyFill="1" applyAlignment="1">
      <alignment horizontal="center"/>
    </xf>
    <xf numFmtId="0" fontId="114" fillId="0" borderId="0" xfId="0" applyFont="1" applyAlignment="1" applyProtection="1">
      <alignment/>
      <protection/>
    </xf>
    <xf numFmtId="0" fontId="0" fillId="13" borderId="0" xfId="0" applyFont="1" applyFill="1" applyBorder="1" applyAlignment="1" applyProtection="1">
      <alignment horizontal="center"/>
      <protection/>
    </xf>
    <xf numFmtId="0" fontId="0" fillId="73" borderId="0" xfId="0" applyFill="1" applyAlignment="1" applyProtection="1">
      <alignment horizontal="center"/>
      <protection/>
    </xf>
    <xf numFmtId="0" fontId="0" fillId="0" borderId="0" xfId="0" applyFill="1" applyBorder="1" applyAlignment="1" quotePrefix="1">
      <alignment horizontal="center"/>
    </xf>
    <xf numFmtId="1" fontId="0" fillId="0" borderId="0" xfId="0" applyNumberFormat="1" applyFill="1" applyBorder="1" applyAlignment="1">
      <alignment/>
    </xf>
    <xf numFmtId="0" fontId="0" fillId="75" borderId="0" xfId="0" applyFill="1" applyBorder="1" applyAlignment="1">
      <alignment horizontal="center"/>
    </xf>
    <xf numFmtId="0" fontId="0" fillId="0" borderId="0" xfId="0" applyFill="1" applyBorder="1" applyAlignment="1" quotePrefix="1">
      <alignment horizontal="right"/>
    </xf>
    <xf numFmtId="0" fontId="0" fillId="81" borderId="0" xfId="0" applyFill="1" applyBorder="1" applyAlignment="1">
      <alignment horizontal="center"/>
    </xf>
    <xf numFmtId="1" fontId="0" fillId="81" borderId="0" xfId="0" applyNumberFormat="1" applyFill="1" applyBorder="1" applyAlignment="1">
      <alignment horizontal="center"/>
    </xf>
    <xf numFmtId="0" fontId="0" fillId="81" borderId="0" xfId="0" applyFill="1" applyBorder="1" applyAlignment="1" quotePrefix="1">
      <alignment horizontal="center"/>
    </xf>
    <xf numFmtId="0" fontId="0" fillId="73" borderId="0" xfId="0" applyFill="1" applyBorder="1" applyAlignment="1">
      <alignment/>
    </xf>
    <xf numFmtId="0" fontId="0" fillId="73" borderId="0" xfId="0" applyFill="1" applyBorder="1" applyAlignment="1" applyProtection="1">
      <alignment/>
      <protection/>
    </xf>
    <xf numFmtId="0" fontId="0" fillId="73" borderId="0" xfId="0" applyFill="1" applyAlignment="1">
      <alignment horizontal="center"/>
    </xf>
    <xf numFmtId="2" fontId="0" fillId="73" borderId="0" xfId="0" applyNumberFormat="1" applyFill="1" applyBorder="1" applyAlignment="1">
      <alignment horizontal="center"/>
    </xf>
    <xf numFmtId="0" fontId="0" fillId="75" borderId="0" xfId="0" applyFill="1" applyBorder="1" applyAlignment="1" applyProtection="1">
      <alignment/>
      <protection/>
    </xf>
    <xf numFmtId="1" fontId="0" fillId="75" borderId="0" xfId="0" applyNumberFormat="1" applyFill="1" applyBorder="1" applyAlignment="1">
      <alignment horizontal="center"/>
    </xf>
    <xf numFmtId="0" fontId="0" fillId="75" borderId="0" xfId="0" applyFill="1" applyAlignment="1">
      <alignment/>
    </xf>
    <xf numFmtId="1" fontId="0" fillId="72" borderId="0" xfId="0" applyNumberFormat="1" applyFill="1" applyBorder="1" applyAlignment="1">
      <alignment horizontal="center"/>
    </xf>
    <xf numFmtId="0" fontId="0" fillId="75" borderId="0" xfId="0" applyFill="1" applyBorder="1" applyAlignment="1">
      <alignment horizontal="right"/>
    </xf>
    <xf numFmtId="0" fontId="0" fillId="82" borderId="0" xfId="0" applyFill="1" applyBorder="1" applyAlignment="1" applyProtection="1">
      <alignment horizontal="right"/>
      <protection/>
    </xf>
    <xf numFmtId="1" fontId="0" fillId="82" borderId="0" xfId="0" applyNumberFormat="1" applyFill="1" applyBorder="1" applyAlignment="1">
      <alignment horizontal="center"/>
    </xf>
    <xf numFmtId="1" fontId="0" fillId="13" borderId="0" xfId="0" applyNumberFormat="1" applyFill="1" applyBorder="1" applyAlignment="1">
      <alignment horizontal="center"/>
    </xf>
    <xf numFmtId="0" fontId="0" fillId="13" borderId="0" xfId="0" applyFill="1" applyBorder="1" applyAlignment="1" applyProtection="1">
      <alignment horizontal="right"/>
      <protection/>
    </xf>
    <xf numFmtId="0" fontId="0" fillId="13" borderId="0" xfId="0" applyFill="1" applyBorder="1" applyAlignment="1">
      <alignment horizontal="center"/>
    </xf>
    <xf numFmtId="0" fontId="0" fillId="82" borderId="0" xfId="0" applyFill="1" applyAlignment="1">
      <alignment horizontal="center"/>
    </xf>
    <xf numFmtId="0" fontId="0" fillId="82" borderId="0" xfId="0" applyFill="1" applyBorder="1" applyAlignment="1" applyProtection="1">
      <alignment horizontal="center"/>
      <protection/>
    </xf>
    <xf numFmtId="0" fontId="0" fillId="74" borderId="0" xfId="0" applyFill="1" applyBorder="1" applyAlignment="1">
      <alignment/>
    </xf>
    <xf numFmtId="0" fontId="0" fillId="74" borderId="0" xfId="0" applyFill="1" applyBorder="1" applyAlignment="1">
      <alignment horizontal="center"/>
    </xf>
    <xf numFmtId="0" fontId="0" fillId="83" borderId="0" xfId="0" applyFill="1" applyBorder="1" applyAlignment="1">
      <alignment horizontal="center"/>
    </xf>
    <xf numFmtId="0" fontId="0" fillId="83" borderId="0" xfId="0" applyFill="1" applyBorder="1" applyAlignment="1">
      <alignment horizontal="right"/>
    </xf>
    <xf numFmtId="0" fontId="0" fillId="83" borderId="86" xfId="0" applyFill="1" applyBorder="1" applyAlignment="1" applyProtection="1">
      <alignment horizontal="center"/>
      <protection/>
    </xf>
    <xf numFmtId="0" fontId="0" fillId="13" borderId="0" xfId="0" applyFill="1" applyBorder="1" applyAlignment="1" quotePrefix="1">
      <alignment horizontal="center"/>
    </xf>
    <xf numFmtId="0" fontId="0" fillId="0" borderId="0" xfId="0" applyAlignment="1" applyProtection="1">
      <alignment horizontal="left"/>
      <protection/>
    </xf>
    <xf numFmtId="0" fontId="0" fillId="0" borderId="0" xfId="0" applyAlignment="1" applyProtection="1">
      <alignment horizontal="right" wrapText="1"/>
      <protection/>
    </xf>
    <xf numFmtId="0" fontId="0" fillId="16" borderId="0" xfId="0" applyFill="1" applyAlignment="1" applyProtection="1">
      <alignment horizontal="center"/>
      <protection/>
    </xf>
    <xf numFmtId="0" fontId="0" fillId="16" borderId="86" xfId="0" applyFill="1" applyBorder="1" applyAlignment="1" applyProtection="1">
      <alignment horizontal="center"/>
      <protection/>
    </xf>
    <xf numFmtId="0" fontId="0" fillId="16" borderId="134" xfId="0" applyFill="1" applyBorder="1" applyAlignment="1" applyProtection="1">
      <alignment horizontal="center"/>
      <protection/>
    </xf>
    <xf numFmtId="0" fontId="0" fillId="16" borderId="130" xfId="0" applyFill="1" applyBorder="1" applyAlignment="1" applyProtection="1">
      <alignment horizontal="center"/>
      <protection/>
    </xf>
    <xf numFmtId="0" fontId="0" fillId="16" borderId="0" xfId="0" applyFill="1" applyBorder="1" applyAlignment="1" applyProtection="1">
      <alignment horizontal="center"/>
      <protection/>
    </xf>
    <xf numFmtId="0" fontId="0" fillId="16" borderId="131" xfId="0" applyFill="1" applyBorder="1" applyAlignment="1" applyProtection="1">
      <alignment horizontal="center"/>
      <protection/>
    </xf>
    <xf numFmtId="0" fontId="0" fillId="84" borderId="0" xfId="0" applyFill="1" applyAlignment="1" applyProtection="1">
      <alignment horizontal="center"/>
      <protection/>
    </xf>
    <xf numFmtId="0" fontId="0" fillId="10" borderId="0" xfId="0" applyFill="1" applyAlignment="1" applyProtection="1">
      <alignment horizontal="center"/>
      <protection/>
    </xf>
    <xf numFmtId="0" fontId="0" fillId="75" borderId="104" xfId="0" applyFill="1" applyBorder="1" applyAlignment="1" applyProtection="1">
      <alignment horizontal="center"/>
      <protection/>
    </xf>
    <xf numFmtId="1" fontId="0" fillId="47" borderId="0" xfId="0" applyNumberFormat="1" applyFill="1" applyAlignment="1" applyProtection="1">
      <alignment horizontal="center"/>
      <protection/>
    </xf>
    <xf numFmtId="0" fontId="0" fillId="16" borderId="104" xfId="0" applyFill="1" applyBorder="1" applyAlignment="1" applyProtection="1">
      <alignment horizontal="center"/>
      <protection/>
    </xf>
    <xf numFmtId="0" fontId="0" fillId="16" borderId="0" xfId="0" applyFill="1" applyBorder="1" applyAlignment="1" applyProtection="1">
      <alignment horizontal="right"/>
      <protection/>
    </xf>
    <xf numFmtId="1" fontId="0" fillId="47" borderId="86" xfId="0" applyNumberFormat="1" applyFill="1" applyBorder="1" applyAlignment="1" applyProtection="1">
      <alignment horizontal="center"/>
      <protection/>
    </xf>
    <xf numFmtId="0" fontId="37" fillId="0" borderId="0" xfId="0" applyFont="1" applyBorder="1" applyAlignment="1" applyProtection="1">
      <alignment horizontal="center" vertical="top" wrapText="1"/>
      <protection hidden="1"/>
    </xf>
    <xf numFmtId="0" fontId="0" fillId="85" borderId="0" xfId="0" applyFill="1" applyAlignment="1" applyProtection="1">
      <alignment/>
      <protection/>
    </xf>
    <xf numFmtId="0" fontId="0" fillId="85" borderId="0" xfId="0" applyFill="1" applyAlignment="1" applyProtection="1">
      <alignment horizontal="center"/>
      <protection/>
    </xf>
    <xf numFmtId="0" fontId="0" fillId="85" borderId="0" xfId="0" applyFill="1" applyAlignment="1">
      <alignment/>
    </xf>
    <xf numFmtId="1" fontId="33" fillId="53" borderId="16" xfId="0" applyNumberFormat="1" applyFont="1" applyFill="1" applyBorder="1" applyAlignment="1" applyProtection="1">
      <alignment horizontal="center" vertical="center"/>
      <protection locked="0"/>
    </xf>
    <xf numFmtId="0" fontId="0" fillId="10" borderId="0" xfId="0" applyFill="1" applyBorder="1" applyAlignment="1" applyProtection="1">
      <alignment horizontal="center"/>
      <protection/>
    </xf>
    <xf numFmtId="0" fontId="0" fillId="51" borderId="86" xfId="0" applyFill="1" applyBorder="1" applyAlignment="1" applyProtection="1">
      <alignment horizontal="center" wrapText="1"/>
      <protection/>
    </xf>
    <xf numFmtId="0" fontId="0" fillId="75" borderId="86" xfId="0" applyFont="1" applyFill="1" applyBorder="1" applyAlignment="1" applyProtection="1">
      <alignment horizontal="center"/>
      <protection/>
    </xf>
    <xf numFmtId="0" fontId="0" fillId="73" borderId="0" xfId="0" applyFill="1" applyAlignment="1" applyProtection="1">
      <alignment horizontal="center"/>
      <protection/>
    </xf>
    <xf numFmtId="0" fontId="76" fillId="34" borderId="190" xfId="0" applyFont="1" applyFill="1" applyBorder="1" applyAlignment="1" applyProtection="1">
      <alignment horizontal="center" vertical="center"/>
      <protection hidden="1"/>
    </xf>
    <xf numFmtId="0" fontId="16" fillId="0" borderId="10" xfId="0" applyFont="1" applyFill="1" applyBorder="1" applyAlignment="1" applyProtection="1">
      <alignment vertical="center"/>
      <protection hidden="1"/>
    </xf>
    <xf numFmtId="0" fontId="26" fillId="35" borderId="55" xfId="0" applyFont="1" applyFill="1" applyBorder="1" applyAlignment="1" applyProtection="1">
      <alignment vertical="center"/>
      <protection hidden="1"/>
    </xf>
    <xf numFmtId="0" fontId="26" fillId="35" borderId="57" xfId="0" applyFont="1" applyFill="1" applyBorder="1" applyAlignment="1" applyProtection="1">
      <alignment vertical="center"/>
      <protection hidden="1"/>
    </xf>
    <xf numFmtId="0" fontId="27" fillId="0" borderId="0" xfId="0" applyFont="1" applyAlignment="1" applyProtection="1">
      <alignment/>
      <protection hidden="1"/>
    </xf>
    <xf numFmtId="0" fontId="25" fillId="33" borderId="63" xfId="0" applyFont="1" applyFill="1" applyBorder="1" applyAlignment="1" applyProtection="1">
      <alignment vertical="center"/>
      <protection hidden="1"/>
    </xf>
    <xf numFmtId="49" fontId="25" fillId="48" borderId="78" xfId="0" applyNumberFormat="1" applyFont="1" applyFill="1" applyBorder="1" applyAlignment="1" applyProtection="1">
      <alignment horizontal="center" vertical="center"/>
      <protection hidden="1"/>
    </xf>
    <xf numFmtId="49" fontId="25" fillId="34" borderId="19" xfId="0" applyNumberFormat="1" applyFont="1" applyFill="1" applyBorder="1" applyAlignment="1" applyProtection="1">
      <alignment horizontal="center" vertical="center"/>
      <protection hidden="1"/>
    </xf>
    <xf numFmtId="49" fontId="25" fillId="34" borderId="20" xfId="0" applyNumberFormat="1" applyFont="1" applyFill="1" applyBorder="1" applyAlignment="1" applyProtection="1">
      <alignment horizontal="center" vertical="center"/>
      <protection hidden="1"/>
    </xf>
    <xf numFmtId="49" fontId="25" fillId="34" borderId="90" xfId="0" applyNumberFormat="1" applyFont="1" applyFill="1" applyBorder="1" applyAlignment="1" applyProtection="1">
      <alignment horizontal="center" vertical="center"/>
      <protection hidden="1"/>
    </xf>
    <xf numFmtId="0" fontId="25" fillId="33" borderId="11" xfId="0" applyFont="1" applyFill="1" applyBorder="1" applyAlignment="1" applyProtection="1">
      <alignment vertical="center"/>
      <protection hidden="1"/>
    </xf>
    <xf numFmtId="0" fontId="25" fillId="36" borderId="19" xfId="0" applyFont="1" applyFill="1" applyBorder="1" applyAlignment="1" applyProtection="1">
      <alignment horizontal="center" vertical="center"/>
      <protection hidden="1"/>
    </xf>
    <xf numFmtId="0" fontId="25" fillId="36" borderId="21" xfId="0" applyFont="1" applyFill="1" applyBorder="1" applyAlignment="1" applyProtection="1">
      <alignment horizontal="center" vertical="center"/>
      <protection hidden="1"/>
    </xf>
    <xf numFmtId="0" fontId="44" fillId="35" borderId="150" xfId="0" applyFont="1" applyFill="1" applyBorder="1" applyAlignment="1" applyProtection="1">
      <alignment horizontal="center" vertical="center"/>
      <protection hidden="1"/>
    </xf>
    <xf numFmtId="0" fontId="44" fillId="35" borderId="151" xfId="0" applyFont="1" applyFill="1" applyBorder="1" applyAlignment="1" applyProtection="1">
      <alignment horizontal="center" vertical="center"/>
      <protection hidden="1"/>
    </xf>
    <xf numFmtId="0" fontId="76" fillId="34" borderId="191" xfId="0" applyFont="1" applyFill="1" applyBorder="1" applyAlignment="1" applyProtection="1">
      <alignment horizontal="center" vertical="center"/>
      <protection hidden="1"/>
    </xf>
    <xf numFmtId="0" fontId="44" fillId="35" borderId="42" xfId="0" applyFont="1" applyFill="1" applyBorder="1" applyAlignment="1" applyProtection="1">
      <alignment horizontal="center" vertical="center"/>
      <protection hidden="1"/>
    </xf>
    <xf numFmtId="0" fontId="33" fillId="34" borderId="190" xfId="0" applyFont="1" applyFill="1" applyBorder="1" applyAlignment="1" applyProtection="1">
      <alignment horizontal="center" vertical="center"/>
      <protection hidden="1"/>
    </xf>
    <xf numFmtId="0" fontId="33" fillId="34" borderId="192" xfId="0" applyFont="1" applyFill="1" applyBorder="1" applyAlignment="1" applyProtection="1">
      <alignment horizontal="center" vertical="center"/>
      <protection hidden="1"/>
    </xf>
    <xf numFmtId="0" fontId="44" fillId="35" borderId="102" xfId="0" applyFont="1" applyFill="1" applyBorder="1" applyAlignment="1" applyProtection="1">
      <alignment horizontal="center" vertical="center"/>
      <protection hidden="1"/>
    </xf>
    <xf numFmtId="0" fontId="33" fillId="34" borderId="193" xfId="0" applyFont="1" applyFill="1" applyBorder="1" applyAlignment="1" applyProtection="1">
      <alignment horizontal="center" vertical="center"/>
      <protection hidden="1"/>
    </xf>
    <xf numFmtId="0" fontId="33" fillId="34" borderId="96" xfId="0" applyFont="1" applyFill="1" applyBorder="1" applyAlignment="1" applyProtection="1">
      <alignment horizontal="center" vertical="center"/>
      <protection hidden="1"/>
    </xf>
    <xf numFmtId="0" fontId="33" fillId="34" borderId="194" xfId="0" applyFont="1" applyFill="1" applyBorder="1" applyAlignment="1" applyProtection="1">
      <alignment horizontal="center" vertical="center"/>
      <protection hidden="1"/>
    </xf>
    <xf numFmtId="0" fontId="44" fillId="35" borderId="12" xfId="0" applyFont="1" applyFill="1" applyBorder="1" applyAlignment="1" applyProtection="1">
      <alignment horizontal="center" vertical="center"/>
      <protection hidden="1"/>
    </xf>
    <xf numFmtId="0" fontId="44" fillId="35" borderId="13" xfId="0" applyFont="1" applyFill="1" applyBorder="1" applyAlignment="1" applyProtection="1">
      <alignment horizontal="center" vertical="center"/>
      <protection hidden="1"/>
    </xf>
    <xf numFmtId="0" fontId="33" fillId="34" borderId="195" xfId="0" applyFont="1" applyFill="1" applyBorder="1" applyAlignment="1" applyProtection="1">
      <alignment horizontal="center" vertical="center"/>
      <protection hidden="1"/>
    </xf>
    <xf numFmtId="0" fontId="44" fillId="0" borderId="0" xfId="0" applyFont="1" applyAlignment="1" applyProtection="1">
      <alignment horizontal="left"/>
      <protection hidden="1"/>
    </xf>
    <xf numFmtId="0" fontId="36" fillId="0" borderId="0" xfId="0" applyFont="1" applyAlignment="1" applyProtection="1">
      <alignment vertical="center" wrapText="1"/>
      <protection hidden="1"/>
    </xf>
    <xf numFmtId="0" fontId="33" fillId="34" borderId="94" xfId="0" applyFont="1" applyFill="1" applyBorder="1" applyAlignment="1" applyProtection="1">
      <alignment horizontal="center" vertical="center"/>
      <protection hidden="1"/>
    </xf>
    <xf numFmtId="0" fontId="44" fillId="35" borderId="196" xfId="0" applyFont="1" applyFill="1" applyBorder="1" applyAlignment="1" applyProtection="1">
      <alignment horizontal="center" vertical="center"/>
      <protection hidden="1"/>
    </xf>
    <xf numFmtId="0" fontId="44" fillId="35" borderId="197" xfId="0" applyFont="1" applyFill="1" applyBorder="1" applyAlignment="1" applyProtection="1">
      <alignment horizontal="center" vertical="center"/>
      <protection hidden="1"/>
    </xf>
    <xf numFmtId="0" fontId="44" fillId="35" borderId="198" xfId="0" applyFont="1" applyFill="1" applyBorder="1" applyAlignment="1" applyProtection="1">
      <alignment horizontal="center" vertical="center"/>
      <protection hidden="1"/>
    </xf>
    <xf numFmtId="0" fontId="44" fillId="35" borderId="199" xfId="0" applyFont="1" applyFill="1" applyBorder="1" applyAlignment="1" applyProtection="1">
      <alignment horizontal="center" vertical="center"/>
      <protection hidden="1"/>
    </xf>
    <xf numFmtId="0" fontId="76" fillId="34" borderId="192" xfId="0" applyFont="1" applyFill="1" applyBorder="1" applyAlignment="1" applyProtection="1">
      <alignment horizontal="center" vertical="center"/>
      <protection hidden="1"/>
    </xf>
    <xf numFmtId="0" fontId="44" fillId="35" borderId="126" xfId="0" applyFont="1" applyFill="1" applyBorder="1" applyAlignment="1" applyProtection="1">
      <alignment horizontal="center" vertical="center"/>
      <protection hidden="1"/>
    </xf>
    <xf numFmtId="0" fontId="44" fillId="35" borderId="200" xfId="0" applyFont="1" applyFill="1" applyBorder="1" applyAlignment="1" applyProtection="1">
      <alignment horizontal="center" vertical="center"/>
      <protection hidden="1"/>
    </xf>
    <xf numFmtId="0" fontId="33" fillId="34" borderId="201" xfId="0" applyFont="1" applyFill="1" applyBorder="1" applyAlignment="1" applyProtection="1">
      <alignment horizontal="center" vertical="center"/>
      <protection hidden="1"/>
    </xf>
    <xf numFmtId="0" fontId="33" fillId="34" borderId="138" xfId="0" applyFont="1" applyFill="1" applyBorder="1" applyAlignment="1" applyProtection="1">
      <alignment horizontal="center" vertical="center"/>
      <protection hidden="1"/>
    </xf>
    <xf numFmtId="0" fontId="33" fillId="34" borderId="202" xfId="0" applyFont="1" applyFill="1" applyBorder="1" applyAlignment="1" applyProtection="1">
      <alignment horizontal="center" vertical="center"/>
      <protection hidden="1"/>
    </xf>
    <xf numFmtId="0" fontId="33" fillId="34" borderId="203" xfId="0" applyFont="1" applyFill="1" applyBorder="1" applyAlignment="1" applyProtection="1">
      <alignment horizontal="center" vertical="center"/>
      <protection hidden="1"/>
    </xf>
    <xf numFmtId="0" fontId="33" fillId="34" borderId="142" xfId="0" applyFont="1" applyFill="1" applyBorder="1" applyAlignment="1" applyProtection="1">
      <alignment horizontal="center" vertical="center"/>
      <protection hidden="1"/>
    </xf>
    <xf numFmtId="0" fontId="33" fillId="34" borderId="204" xfId="0" applyFont="1" applyFill="1" applyBorder="1" applyAlignment="1" applyProtection="1">
      <alignment horizontal="center" vertical="center"/>
      <protection hidden="1"/>
    </xf>
    <xf numFmtId="0" fontId="44" fillId="35" borderId="205" xfId="0" applyFont="1" applyFill="1" applyBorder="1" applyAlignment="1" applyProtection="1">
      <alignment horizontal="center" vertical="center"/>
      <protection hidden="1"/>
    </xf>
    <xf numFmtId="0" fontId="44" fillId="35" borderId="206" xfId="0" applyFont="1" applyFill="1" applyBorder="1" applyAlignment="1" applyProtection="1">
      <alignment horizontal="center" vertical="center"/>
      <protection hidden="1"/>
    </xf>
    <xf numFmtId="0" fontId="44" fillId="35" borderId="207" xfId="0" applyFont="1" applyFill="1" applyBorder="1" applyAlignment="1" applyProtection="1">
      <alignment horizontal="center" vertical="center"/>
      <protection hidden="1"/>
    </xf>
    <xf numFmtId="0" fontId="44" fillId="35" borderId="208" xfId="0" applyFont="1" applyFill="1" applyBorder="1" applyAlignment="1" applyProtection="1">
      <alignment horizontal="center" vertical="center"/>
      <protection hidden="1"/>
    </xf>
    <xf numFmtId="0" fontId="76" fillId="34" borderId="94" xfId="0" applyFont="1" applyFill="1" applyBorder="1" applyAlignment="1" applyProtection="1">
      <alignment horizontal="center" vertical="center"/>
      <protection hidden="1"/>
    </xf>
    <xf numFmtId="1" fontId="33" fillId="52" borderId="25" xfId="0" applyNumberFormat="1" applyFont="1" applyFill="1" applyBorder="1" applyAlignment="1" applyProtection="1">
      <alignment horizontal="center" vertical="center"/>
      <protection hidden="1"/>
    </xf>
    <xf numFmtId="1" fontId="33" fillId="52" borderId="42" xfId="0" applyNumberFormat="1" applyFont="1" applyFill="1" applyBorder="1" applyAlignment="1" applyProtection="1">
      <alignment horizontal="center" vertical="center"/>
      <protection hidden="1"/>
    </xf>
    <xf numFmtId="0" fontId="44" fillId="35" borderId="45" xfId="0" applyFont="1" applyFill="1" applyBorder="1" applyAlignment="1" applyProtection="1">
      <alignment horizontal="center" vertical="center"/>
      <protection hidden="1"/>
    </xf>
    <xf numFmtId="0" fontId="44" fillId="35" borderId="209" xfId="0" applyFont="1" applyFill="1" applyBorder="1" applyAlignment="1" applyProtection="1">
      <alignment horizontal="center" vertical="center"/>
      <protection hidden="1"/>
    </xf>
    <xf numFmtId="0" fontId="76" fillId="34" borderId="210" xfId="0" applyFont="1" applyFill="1" applyBorder="1" applyAlignment="1" applyProtection="1">
      <alignment horizontal="center" vertical="center"/>
      <protection hidden="1"/>
    </xf>
    <xf numFmtId="0" fontId="76" fillId="34" borderId="211" xfId="0" applyFont="1" applyFill="1" applyBorder="1" applyAlignment="1" applyProtection="1">
      <alignment horizontal="center" vertical="center"/>
      <protection hidden="1"/>
    </xf>
    <xf numFmtId="0" fontId="76" fillId="34" borderId="212" xfId="0" applyFont="1" applyFill="1" applyBorder="1" applyAlignment="1" applyProtection="1">
      <alignment horizontal="center" vertical="center"/>
      <protection hidden="1"/>
    </xf>
    <xf numFmtId="1" fontId="33" fillId="52" borderId="88" xfId="0" applyNumberFormat="1" applyFont="1" applyFill="1" applyBorder="1" applyAlignment="1" applyProtection="1">
      <alignment horizontal="center" vertical="center"/>
      <protection hidden="1"/>
    </xf>
    <xf numFmtId="1" fontId="33" fillId="33" borderId="15" xfId="0" applyNumberFormat="1" applyFont="1" applyFill="1" applyBorder="1" applyAlignment="1" applyProtection="1">
      <alignment horizontal="center" vertical="center"/>
      <protection hidden="1"/>
    </xf>
    <xf numFmtId="1" fontId="33" fillId="36" borderId="35" xfId="0" applyNumberFormat="1" applyFont="1" applyFill="1" applyBorder="1" applyAlignment="1" applyProtection="1">
      <alignment horizontal="center" vertical="center"/>
      <protection hidden="1"/>
    </xf>
    <xf numFmtId="0" fontId="0" fillId="0" borderId="75" xfId="0" applyBorder="1" applyAlignment="1" applyProtection="1">
      <alignment vertical="center"/>
      <protection hidden="1"/>
    </xf>
    <xf numFmtId="0" fontId="0" fillId="0" borderId="17" xfId="0" applyFont="1" applyBorder="1" applyAlignment="1" applyProtection="1">
      <alignment horizontal="right" vertical="center"/>
      <protection hidden="1"/>
    </xf>
    <xf numFmtId="0" fontId="25" fillId="0" borderId="59" xfId="0" applyFont="1" applyBorder="1" applyAlignment="1" applyProtection="1">
      <alignment horizontal="right" vertical="center"/>
      <protection hidden="1"/>
    </xf>
    <xf numFmtId="2" fontId="41" fillId="34" borderId="103" xfId="0" applyNumberFormat="1" applyFont="1" applyFill="1" applyBorder="1" applyAlignment="1" applyProtection="1">
      <alignment horizontal="left" vertical="center" shrinkToFit="1"/>
      <protection hidden="1"/>
    </xf>
    <xf numFmtId="0" fontId="41" fillId="34" borderId="49" xfId="0" applyFont="1" applyFill="1" applyBorder="1" applyAlignment="1" applyProtection="1">
      <alignment horizontal="center" vertical="center"/>
      <protection hidden="1"/>
    </xf>
    <xf numFmtId="0" fontId="27" fillId="0" borderId="0" xfId="0" applyFont="1" applyFill="1" applyBorder="1" applyAlignment="1" applyProtection="1">
      <alignment/>
      <protection hidden="1"/>
    </xf>
    <xf numFmtId="0" fontId="0" fillId="0" borderId="93" xfId="0" applyBorder="1" applyAlignment="1" applyProtection="1">
      <alignment/>
      <protection hidden="1"/>
    </xf>
    <xf numFmtId="0" fontId="23" fillId="0" borderId="10" xfId="0" applyFont="1" applyFill="1" applyBorder="1" applyAlignment="1" applyProtection="1">
      <alignment horizontal="center"/>
      <protection hidden="1"/>
    </xf>
    <xf numFmtId="0" fontId="25" fillId="0" borderId="93" xfId="0" applyFont="1" applyBorder="1" applyAlignment="1" applyProtection="1">
      <alignment horizontal="right"/>
      <protection hidden="1"/>
    </xf>
    <xf numFmtId="0" fontId="31" fillId="0" borderId="27" xfId="0" applyFont="1" applyBorder="1" applyAlignment="1" applyProtection="1">
      <alignment horizontal="center" vertical="center"/>
      <protection hidden="1"/>
    </xf>
    <xf numFmtId="0" fontId="35" fillId="0" borderId="27" xfId="0" applyFont="1" applyBorder="1" applyAlignment="1" applyProtection="1">
      <alignment horizontal="center" vertical="center"/>
      <protection hidden="1"/>
    </xf>
    <xf numFmtId="0" fontId="26" fillId="0" borderId="27" xfId="0" applyFont="1" applyBorder="1" applyAlignment="1" applyProtection="1">
      <alignment horizontal="center" vertical="center"/>
      <protection hidden="1"/>
    </xf>
    <xf numFmtId="0" fontId="26" fillId="0" borderId="213" xfId="0" applyFont="1" applyBorder="1" applyAlignment="1" applyProtection="1">
      <alignment horizontal="center" vertical="center"/>
      <protection hidden="1"/>
    </xf>
    <xf numFmtId="0" fontId="31" fillId="0" borderId="214" xfId="0" applyFont="1" applyFill="1" applyBorder="1" applyAlignment="1" applyProtection="1">
      <alignment horizontal="center" vertical="center"/>
      <protection hidden="1"/>
    </xf>
    <xf numFmtId="0" fontId="25" fillId="0" borderId="213" xfId="0" applyFont="1" applyBorder="1" applyAlignment="1" applyProtection="1">
      <alignment horizontal="center" vertical="center"/>
      <protection hidden="1"/>
    </xf>
    <xf numFmtId="0" fontId="25" fillId="0" borderId="120" xfId="0" applyFont="1" applyBorder="1" applyAlignment="1" applyProtection="1">
      <alignment horizontal="center" vertical="center"/>
      <protection hidden="1"/>
    </xf>
    <xf numFmtId="0" fontId="25" fillId="35" borderId="25" xfId="0" applyFont="1" applyFill="1" applyBorder="1" applyAlignment="1" applyProtection="1">
      <alignment horizontal="center" vertical="center" wrapText="1"/>
      <protection hidden="1"/>
    </xf>
    <xf numFmtId="0" fontId="25" fillId="35" borderId="88" xfId="0" applyFont="1" applyFill="1" applyBorder="1" applyAlignment="1" applyProtection="1">
      <alignment horizontal="center" vertical="center"/>
      <protection hidden="1"/>
    </xf>
    <xf numFmtId="49" fontId="25" fillId="48" borderId="98" xfId="0" applyNumberFormat="1" applyFont="1" applyFill="1" applyBorder="1" applyAlignment="1" applyProtection="1">
      <alignment horizontal="center" vertical="center"/>
      <protection hidden="1"/>
    </xf>
    <xf numFmtId="49" fontId="25" fillId="48" borderId="99" xfId="0" applyNumberFormat="1" applyFont="1" applyFill="1" applyBorder="1" applyAlignment="1" applyProtection="1">
      <alignment horizontal="center" vertical="center"/>
      <protection hidden="1"/>
    </xf>
    <xf numFmtId="49" fontId="25" fillId="53" borderId="18" xfId="0" applyNumberFormat="1" applyFont="1" applyFill="1" applyBorder="1" applyAlignment="1" applyProtection="1">
      <alignment horizontal="center" vertical="center"/>
      <protection hidden="1"/>
    </xf>
    <xf numFmtId="49" fontId="25" fillId="53" borderId="20" xfId="0" applyNumberFormat="1" applyFont="1" applyFill="1" applyBorder="1" applyAlignment="1" applyProtection="1">
      <alignment horizontal="center" vertical="center"/>
      <protection hidden="1"/>
    </xf>
    <xf numFmtId="49" fontId="25" fillId="53" borderId="19" xfId="0" applyNumberFormat="1" applyFont="1" applyFill="1" applyBorder="1" applyAlignment="1" applyProtection="1">
      <alignment horizontal="center" vertical="center"/>
      <protection hidden="1"/>
    </xf>
    <xf numFmtId="49" fontId="25" fillId="53" borderId="101" xfId="0" applyNumberFormat="1" applyFont="1" applyFill="1" applyBorder="1" applyAlignment="1" applyProtection="1">
      <alignment horizontal="center" vertical="center"/>
      <protection hidden="1"/>
    </xf>
    <xf numFmtId="1" fontId="33" fillId="33" borderId="215" xfId="0" applyNumberFormat="1" applyFont="1" applyFill="1" applyBorder="1" applyAlignment="1" applyProtection="1">
      <alignment horizontal="center" vertical="center"/>
      <protection hidden="1"/>
    </xf>
    <xf numFmtId="0" fontId="33" fillId="36" borderId="64" xfId="0" applyNumberFormat="1" applyFont="1" applyFill="1" applyBorder="1" applyAlignment="1" applyProtection="1">
      <alignment horizontal="center" vertical="center"/>
      <protection hidden="1"/>
    </xf>
    <xf numFmtId="0" fontId="0" fillId="86" borderId="98" xfId="0" applyFill="1" applyBorder="1" applyAlignment="1" applyProtection="1">
      <alignment/>
      <protection hidden="1"/>
    </xf>
    <xf numFmtId="1" fontId="48" fillId="36" borderId="216" xfId="0" applyNumberFormat="1" applyFont="1" applyFill="1" applyBorder="1" applyAlignment="1" applyProtection="1">
      <alignment/>
      <protection hidden="1"/>
    </xf>
    <xf numFmtId="0" fontId="44" fillId="34" borderId="48" xfId="0" applyFont="1" applyFill="1" applyBorder="1" applyAlignment="1" applyProtection="1">
      <alignment horizontal="left" vertical="center"/>
      <protection hidden="1"/>
    </xf>
    <xf numFmtId="0" fontId="0" fillId="47" borderId="114" xfId="0" applyFill="1" applyBorder="1" applyAlignment="1" applyProtection="1">
      <alignment vertical="center"/>
      <protection hidden="1"/>
    </xf>
    <xf numFmtId="0" fontId="0" fillId="34" borderId="49" xfId="0" applyFill="1" applyBorder="1" applyAlignment="1" applyProtection="1">
      <alignment horizontal="left" vertical="center"/>
      <protection hidden="1"/>
    </xf>
    <xf numFmtId="0" fontId="41" fillId="34" borderId="49" xfId="0" applyFont="1" applyFill="1" applyBorder="1" applyAlignment="1" applyProtection="1">
      <alignment horizontal="right" vertical="center"/>
      <protection hidden="1"/>
    </xf>
    <xf numFmtId="0" fontId="29" fillId="34" borderId="49" xfId="0" applyFont="1" applyFill="1" applyBorder="1" applyAlignment="1" applyProtection="1">
      <alignment horizontal="center" vertical="center"/>
      <protection hidden="1"/>
    </xf>
    <xf numFmtId="0" fontId="44" fillId="0" borderId="0" xfId="0" applyFont="1" applyAlignment="1" applyProtection="1">
      <alignment/>
      <protection hidden="1"/>
    </xf>
    <xf numFmtId="0" fontId="17" fillId="0" borderId="0" xfId="0" applyFont="1" applyAlignment="1" applyProtection="1">
      <alignment/>
      <protection hidden="1"/>
    </xf>
    <xf numFmtId="0" fontId="44" fillId="48" borderId="160" xfId="0" applyFont="1" applyFill="1" applyBorder="1" applyAlignment="1" applyProtection="1">
      <alignment horizontal="center" vertical="center"/>
      <protection hidden="1"/>
    </xf>
    <xf numFmtId="0" fontId="0" fillId="72" borderId="0" xfId="0" applyFill="1" applyBorder="1" applyAlignment="1">
      <alignment horizontal="center"/>
    </xf>
    <xf numFmtId="1" fontId="0" fillId="75" borderId="0" xfId="0" applyNumberFormat="1" applyFill="1" applyBorder="1" applyAlignment="1">
      <alignment/>
    </xf>
    <xf numFmtId="1" fontId="0" fillId="74" borderId="0" xfId="0" applyNumberFormat="1" applyFill="1" applyBorder="1" applyAlignment="1">
      <alignment horizontal="center"/>
    </xf>
    <xf numFmtId="0" fontId="0" fillId="73" borderId="0" xfId="0" applyFill="1" applyAlignment="1">
      <alignment horizontal="left"/>
    </xf>
    <xf numFmtId="0" fontId="0" fillId="73" borderId="0" xfId="0" applyFont="1" applyFill="1" applyAlignment="1" applyProtection="1">
      <alignment horizontal="center"/>
      <protection/>
    </xf>
    <xf numFmtId="0" fontId="0" fillId="19" borderId="0" xfId="0" applyFill="1" applyBorder="1" applyAlignment="1">
      <alignment/>
    </xf>
    <xf numFmtId="0" fontId="44" fillId="48" borderId="217" xfId="0" applyFont="1" applyFill="1" applyBorder="1" applyAlignment="1" applyProtection="1">
      <alignment horizontal="center" vertical="center"/>
      <protection hidden="1" locked="0"/>
    </xf>
    <xf numFmtId="0" fontId="44" fillId="48" borderId="188" xfId="0" applyFont="1" applyFill="1" applyBorder="1" applyAlignment="1" applyProtection="1">
      <alignment horizontal="center" vertical="center"/>
      <protection hidden="1" locked="0"/>
    </xf>
    <xf numFmtId="1" fontId="33" fillId="87" borderId="12" xfId="0" applyNumberFormat="1" applyFont="1" applyFill="1" applyBorder="1" applyAlignment="1" applyProtection="1">
      <alignment horizontal="center" vertical="center"/>
      <protection locked="0"/>
    </xf>
    <xf numFmtId="0" fontId="44" fillId="48" borderId="80" xfId="0" applyFont="1" applyFill="1" applyBorder="1" applyAlignment="1" applyProtection="1">
      <alignment horizontal="center" vertical="center"/>
      <protection hidden="1" locked="0"/>
    </xf>
    <xf numFmtId="0" fontId="84" fillId="0" borderId="0" xfId="0" applyFont="1" applyBorder="1" applyAlignment="1" applyProtection="1" quotePrefix="1">
      <alignment horizontal="center" vertical="top" wrapText="1"/>
      <protection/>
    </xf>
    <xf numFmtId="0" fontId="16" fillId="33" borderId="218" xfId="0" applyFont="1" applyFill="1" applyBorder="1" applyAlignment="1" applyProtection="1">
      <alignment horizontal="center" vertical="center"/>
      <protection hidden="1"/>
    </xf>
    <xf numFmtId="0" fontId="16" fillId="33" borderId="219" xfId="0" applyFont="1" applyFill="1" applyBorder="1" applyAlignment="1" applyProtection="1">
      <alignment horizontal="center" vertical="center"/>
      <protection hidden="1"/>
    </xf>
    <xf numFmtId="0" fontId="0" fillId="6" borderId="87" xfId="0" applyFill="1" applyBorder="1" applyAlignment="1">
      <alignment horizontal="center"/>
    </xf>
    <xf numFmtId="0" fontId="0" fillId="6" borderId="0" xfId="0" applyFill="1" applyBorder="1" applyAlignment="1" applyProtection="1">
      <alignment horizontal="right"/>
      <protection/>
    </xf>
    <xf numFmtId="0" fontId="0" fillId="6" borderId="86" xfId="0" applyFill="1" applyBorder="1" applyAlignment="1" applyProtection="1">
      <alignment horizontal="center"/>
      <protection/>
    </xf>
    <xf numFmtId="0" fontId="0" fillId="6" borderId="0" xfId="0" applyFill="1" applyAlignment="1">
      <alignment horizontal="center"/>
    </xf>
    <xf numFmtId="0" fontId="0" fillId="6" borderId="104" xfId="0" applyFill="1" applyBorder="1" applyAlignment="1" applyProtection="1">
      <alignment horizontal="center"/>
      <protection/>
    </xf>
    <xf numFmtId="0" fontId="0" fillId="6" borderId="0" xfId="0" applyFill="1" applyBorder="1" applyAlignment="1" applyProtection="1">
      <alignment horizontal="center"/>
      <protection/>
    </xf>
    <xf numFmtId="0" fontId="0" fillId="22" borderId="0" xfId="0" applyFill="1" applyAlignment="1" applyProtection="1">
      <alignment horizontal="center"/>
      <protection/>
    </xf>
    <xf numFmtId="0" fontId="0" fillId="22" borderId="0" xfId="0" applyFill="1" applyAlignment="1" applyProtection="1">
      <alignment horizontal="right"/>
      <protection/>
    </xf>
    <xf numFmtId="0" fontId="33" fillId="34" borderId="220" xfId="0" applyFont="1" applyFill="1" applyBorder="1" applyAlignment="1" applyProtection="1">
      <alignment horizontal="center" vertical="center"/>
      <protection hidden="1"/>
    </xf>
    <xf numFmtId="0" fontId="0" fillId="0" borderId="86" xfId="0" applyFill="1" applyBorder="1" applyAlignment="1" applyProtection="1">
      <alignment horizontal="right"/>
      <protection/>
    </xf>
    <xf numFmtId="0" fontId="33" fillId="34" borderId="221" xfId="0" applyFont="1" applyFill="1" applyBorder="1" applyAlignment="1" applyProtection="1">
      <alignment horizontal="center" vertical="center"/>
      <protection hidden="1"/>
    </xf>
    <xf numFmtId="0" fontId="2" fillId="33" borderId="10" xfId="0" applyFont="1" applyFill="1" applyBorder="1" applyAlignment="1">
      <alignment horizontal="center" vertical="center" wrapText="1"/>
    </xf>
    <xf numFmtId="0" fontId="14" fillId="33" borderId="0" xfId="0" applyFont="1" applyFill="1" applyBorder="1" applyAlignment="1">
      <alignment vertical="center"/>
    </xf>
    <xf numFmtId="0" fontId="14" fillId="34" borderId="0" xfId="0" applyFont="1" applyFill="1" applyBorder="1" applyAlignment="1">
      <alignment horizontal="left" vertical="center" wrapText="1"/>
    </xf>
    <xf numFmtId="0" fontId="19" fillId="33" borderId="0" xfId="48" applyNumberFormat="1" applyFont="1" applyFill="1" applyBorder="1" applyAlignment="1" applyProtection="1">
      <alignment horizontal="left" vertical="center"/>
      <protection/>
    </xf>
    <xf numFmtId="0" fontId="14" fillId="33" borderId="0" xfId="0" applyFont="1" applyFill="1" applyAlignment="1">
      <alignment wrapText="1"/>
    </xf>
    <xf numFmtId="0" fontId="14" fillId="33" borderId="0" xfId="0" applyFont="1" applyFill="1" applyBorder="1" applyAlignment="1">
      <alignment horizontal="justify" wrapText="1"/>
    </xf>
    <xf numFmtId="0" fontId="0" fillId="33" borderId="0" xfId="0" applyFill="1" applyBorder="1" applyAlignment="1">
      <alignment/>
    </xf>
    <xf numFmtId="0" fontId="14" fillId="33" borderId="0" xfId="0" applyFont="1" applyFill="1" applyBorder="1" applyAlignment="1">
      <alignment vertical="center" wrapText="1"/>
    </xf>
    <xf numFmtId="0" fontId="25" fillId="37" borderId="35" xfId="0" applyFont="1" applyFill="1" applyBorder="1" applyAlignment="1">
      <alignment horizontal="center" vertical="top" wrapText="1"/>
    </xf>
    <xf numFmtId="0" fontId="25" fillId="37" borderId="0" xfId="0" applyFont="1" applyFill="1" applyBorder="1" applyAlignment="1">
      <alignment horizontal="center" vertical="top" wrapText="1"/>
    </xf>
    <xf numFmtId="0" fontId="25" fillId="37" borderId="15" xfId="0" applyFont="1" applyFill="1" applyBorder="1" applyAlignment="1">
      <alignment horizontal="center" vertical="top" wrapText="1"/>
    </xf>
    <xf numFmtId="0" fontId="25" fillId="37" borderId="30" xfId="0" applyFont="1" applyFill="1" applyBorder="1" applyAlignment="1">
      <alignment horizontal="center" vertical="top" wrapText="1"/>
    </xf>
    <xf numFmtId="0" fontId="44" fillId="37" borderId="25" xfId="0" applyFont="1" applyFill="1" applyBorder="1" applyAlignment="1">
      <alignment horizontal="center" vertical="center"/>
    </xf>
    <xf numFmtId="0" fontId="44" fillId="37" borderId="64" xfId="0" applyFont="1" applyFill="1" applyBorder="1" applyAlignment="1">
      <alignment horizontal="center" vertical="center"/>
    </xf>
    <xf numFmtId="0" fontId="44" fillId="37" borderId="25" xfId="0" applyFont="1" applyFill="1" applyBorder="1" applyAlignment="1">
      <alignment horizontal="center" vertical="top" wrapText="1"/>
    </xf>
    <xf numFmtId="0" fontId="44" fillId="37" borderId="64" xfId="0" applyFont="1" applyFill="1" applyBorder="1" applyAlignment="1">
      <alignment horizontal="center" vertical="top" wrapText="1"/>
    </xf>
    <xf numFmtId="0" fontId="44" fillId="0" borderId="104" xfId="0" applyFont="1" applyBorder="1" applyAlignment="1">
      <alignment vertical="top" wrapText="1"/>
    </xf>
    <xf numFmtId="0" fontId="44" fillId="0" borderId="134" xfId="0" applyFont="1" applyBorder="1" applyAlignment="1">
      <alignment vertical="top" wrapText="1"/>
    </xf>
    <xf numFmtId="0" fontId="44" fillId="0" borderId="0" xfId="0" applyFont="1" applyBorder="1" applyAlignment="1">
      <alignment vertical="top" wrapText="1"/>
    </xf>
    <xf numFmtId="0" fontId="44" fillId="0" borderId="130" xfId="0" applyFont="1" applyBorder="1" applyAlignment="1">
      <alignment vertical="top" wrapText="1"/>
    </xf>
    <xf numFmtId="0" fontId="49" fillId="0" borderId="0" xfId="0" applyFont="1" applyBorder="1" applyAlignment="1">
      <alignment vertical="center"/>
    </xf>
    <xf numFmtId="0" fontId="46" fillId="39" borderId="15" xfId="0" applyFont="1" applyFill="1" applyBorder="1" applyAlignment="1">
      <alignment horizontal="left" vertical="center"/>
    </xf>
    <xf numFmtId="0" fontId="46" fillId="40" borderId="0" xfId="0" applyFont="1" applyFill="1" applyBorder="1" applyAlignment="1">
      <alignment horizontal="center" vertical="center"/>
    </xf>
    <xf numFmtId="0" fontId="44" fillId="38" borderId="27" xfId="0" applyFont="1" applyFill="1" applyBorder="1" applyAlignment="1">
      <alignment horizontal="center" vertical="center"/>
    </xf>
    <xf numFmtId="0" fontId="25" fillId="37" borderId="36" xfId="0" applyFont="1" applyFill="1" applyBorder="1" applyAlignment="1">
      <alignment horizontal="center" vertical="center" wrapText="1"/>
    </xf>
    <xf numFmtId="0" fontId="25" fillId="37" borderId="10" xfId="0" applyFont="1" applyFill="1" applyBorder="1" applyAlignment="1">
      <alignment horizontal="center" vertical="center" wrapText="1"/>
    </xf>
    <xf numFmtId="0" fontId="25" fillId="37" borderId="32" xfId="0" applyFont="1" applyFill="1" applyBorder="1" applyAlignment="1">
      <alignment horizontal="center" vertical="center" wrapText="1"/>
    </xf>
    <xf numFmtId="0" fontId="44" fillId="37" borderId="27" xfId="0" applyFont="1" applyFill="1" applyBorder="1" applyAlignment="1">
      <alignment horizontal="center" vertical="center" wrapText="1"/>
    </xf>
    <xf numFmtId="0" fontId="44" fillId="37" borderId="31" xfId="0" applyFont="1" applyFill="1" applyBorder="1" applyAlignment="1">
      <alignment horizontal="center" vertical="center" wrapText="1"/>
    </xf>
    <xf numFmtId="0" fontId="25" fillId="0" borderId="24" xfId="0" applyFont="1" applyFill="1" applyBorder="1" applyAlignment="1">
      <alignment horizontal="left" vertical="center"/>
    </xf>
    <xf numFmtId="0" fontId="44" fillId="40" borderId="30" xfId="0" applyFont="1" applyFill="1" applyBorder="1" applyAlignment="1">
      <alignment/>
    </xf>
    <xf numFmtId="0" fontId="50" fillId="37" borderId="50" xfId="0" applyFont="1" applyFill="1" applyBorder="1" applyAlignment="1">
      <alignment horizontal="center" vertical="top" wrapText="1"/>
    </xf>
    <xf numFmtId="0" fontId="50" fillId="37" borderId="222" xfId="0" applyFont="1" applyFill="1" applyBorder="1" applyAlignment="1">
      <alignment horizontal="center" vertical="top" wrapText="1"/>
    </xf>
    <xf numFmtId="1" fontId="16" fillId="36" borderId="58" xfId="0" applyNumberFormat="1" applyFont="1" applyFill="1" applyBorder="1" applyAlignment="1" applyProtection="1">
      <alignment horizontal="center" vertical="center"/>
      <protection hidden="1"/>
    </xf>
    <xf numFmtId="0" fontId="33" fillId="34" borderId="223" xfId="0" applyFont="1" applyFill="1" applyBorder="1" applyAlignment="1" applyProtection="1">
      <alignment horizontal="center" vertical="center"/>
      <protection hidden="1"/>
    </xf>
    <xf numFmtId="0" fontId="33" fillId="34" borderId="224" xfId="0" applyFont="1" applyFill="1" applyBorder="1" applyAlignment="1" applyProtection="1">
      <alignment horizontal="center" vertical="center"/>
      <protection hidden="1"/>
    </xf>
    <xf numFmtId="0" fontId="33" fillId="34" borderId="225" xfId="0" applyFont="1" applyFill="1" applyBorder="1" applyAlignment="1" applyProtection="1">
      <alignment horizontal="center" vertical="center"/>
      <protection hidden="1"/>
    </xf>
    <xf numFmtId="0" fontId="41" fillId="34" borderId="179" xfId="0" applyFont="1" applyFill="1" applyBorder="1" applyAlignment="1" applyProtection="1">
      <alignment horizontal="center" vertical="center"/>
      <protection hidden="1"/>
    </xf>
    <xf numFmtId="0" fontId="41" fillId="34" borderId="49" xfId="0" applyFont="1" applyFill="1" applyBorder="1" applyAlignment="1" applyProtection="1">
      <alignment horizontal="center" vertical="center"/>
      <protection hidden="1"/>
    </xf>
    <xf numFmtId="0" fontId="16" fillId="36" borderId="226" xfId="0" applyFont="1" applyFill="1" applyBorder="1" applyAlignment="1" applyProtection="1">
      <alignment horizontal="center" vertical="center"/>
      <protection hidden="1"/>
    </xf>
    <xf numFmtId="0" fontId="16" fillId="36" borderId="227" xfId="0" applyFont="1" applyFill="1" applyBorder="1" applyAlignment="1" applyProtection="1">
      <alignment horizontal="center" vertical="center"/>
      <protection hidden="1"/>
    </xf>
    <xf numFmtId="0" fontId="44" fillId="35" borderId="183" xfId="0" applyFont="1" applyFill="1" applyBorder="1" applyAlignment="1" applyProtection="1">
      <alignment horizontal="center" vertical="center"/>
      <protection locked="0"/>
    </xf>
    <xf numFmtId="0" fontId="44" fillId="35" borderId="25" xfId="0" applyFont="1" applyFill="1" applyBorder="1" applyAlignment="1" applyProtection="1">
      <alignment horizontal="center" vertical="center"/>
      <protection locked="0"/>
    </xf>
    <xf numFmtId="0" fontId="44" fillId="35" borderId="88" xfId="0" applyFont="1" applyFill="1" applyBorder="1" applyAlignment="1" applyProtection="1">
      <alignment horizontal="center" vertical="center"/>
      <protection locked="0"/>
    </xf>
    <xf numFmtId="0" fontId="44" fillId="35" borderId="64" xfId="0" applyFont="1" applyFill="1" applyBorder="1" applyAlignment="1" applyProtection="1">
      <alignment horizontal="center" vertical="center"/>
      <protection hidden="1"/>
    </xf>
    <xf numFmtId="0" fontId="44" fillId="35" borderId="119" xfId="0" applyFont="1" applyFill="1" applyBorder="1" applyAlignment="1" applyProtection="1">
      <alignment horizontal="center" vertical="center"/>
      <protection hidden="1"/>
    </xf>
    <xf numFmtId="0" fontId="33" fillId="34" borderId="228" xfId="0" applyFont="1" applyFill="1" applyBorder="1" applyAlignment="1" applyProtection="1">
      <alignment horizontal="center" vertical="center"/>
      <protection hidden="1"/>
    </xf>
    <xf numFmtId="0" fontId="33" fillId="34" borderId="229" xfId="0" applyFont="1" applyFill="1" applyBorder="1" applyAlignment="1" applyProtection="1">
      <alignment horizontal="center" vertical="center"/>
      <protection hidden="1"/>
    </xf>
    <xf numFmtId="0" fontId="33" fillId="34" borderId="230" xfId="0" applyFont="1" applyFill="1" applyBorder="1" applyAlignment="1" applyProtection="1">
      <alignment horizontal="center" vertical="center"/>
      <protection hidden="1"/>
    </xf>
    <xf numFmtId="1" fontId="16" fillId="50" borderId="231" xfId="0" applyNumberFormat="1" applyFont="1" applyFill="1" applyBorder="1" applyAlignment="1" applyProtection="1">
      <alignment horizontal="center" vertical="center"/>
      <protection hidden="1"/>
    </xf>
    <xf numFmtId="1" fontId="16" fillId="50" borderId="27" xfId="0" applyNumberFormat="1" applyFont="1" applyFill="1" applyBorder="1" applyAlignment="1" applyProtection="1">
      <alignment horizontal="center" vertical="center"/>
      <protection hidden="1"/>
    </xf>
    <xf numFmtId="1" fontId="16" fillId="50" borderId="120" xfId="0" applyNumberFormat="1" applyFont="1" applyFill="1" applyBorder="1" applyAlignment="1" applyProtection="1">
      <alignment horizontal="center" vertical="center"/>
      <protection hidden="1"/>
    </xf>
    <xf numFmtId="0" fontId="16" fillId="36" borderId="144" xfId="0" applyFont="1" applyFill="1" applyBorder="1" applyAlignment="1" applyProtection="1">
      <alignment horizontal="center" vertical="center"/>
      <protection hidden="1"/>
    </xf>
    <xf numFmtId="0" fontId="16" fillId="36" borderId="64" xfId="0" applyFont="1" applyFill="1" applyBorder="1" applyAlignment="1" applyProtection="1">
      <alignment horizontal="center" vertical="center"/>
      <protection hidden="1"/>
    </xf>
    <xf numFmtId="0" fontId="16" fillId="36" borderId="119" xfId="0" applyFont="1" applyFill="1" applyBorder="1" applyAlignment="1" applyProtection="1">
      <alignment horizontal="center" vertical="center"/>
      <protection hidden="1"/>
    </xf>
    <xf numFmtId="0" fontId="0" fillId="0" borderId="232" xfId="0" applyFont="1" applyBorder="1" applyAlignment="1" applyProtection="1">
      <alignment horizontal="right" vertical="center"/>
      <protection hidden="1"/>
    </xf>
    <xf numFmtId="0" fontId="0" fillId="0" borderId="51" xfId="0" applyFont="1" applyBorder="1" applyAlignment="1" applyProtection="1">
      <alignment horizontal="right" vertical="center"/>
      <protection hidden="1"/>
    </xf>
    <xf numFmtId="0" fontId="0" fillId="0" borderId="34" xfId="0" applyFont="1" applyBorder="1" applyAlignment="1" applyProtection="1">
      <alignment horizontal="right" vertical="center"/>
      <protection hidden="1"/>
    </xf>
    <xf numFmtId="0" fontId="0" fillId="0" borderId="36" xfId="0" applyFont="1" applyBorder="1" applyAlignment="1" applyProtection="1">
      <alignment horizontal="right" vertical="center"/>
      <protection hidden="1"/>
    </xf>
    <xf numFmtId="0" fontId="0" fillId="0" borderId="10" xfId="0" applyFont="1" applyBorder="1" applyAlignment="1" applyProtection="1">
      <alignment horizontal="right" vertical="center"/>
      <protection hidden="1"/>
    </xf>
    <xf numFmtId="0" fontId="0" fillId="0" borderId="32" xfId="0" applyFont="1" applyBorder="1" applyAlignment="1" applyProtection="1">
      <alignment horizontal="right" vertical="center"/>
      <protection hidden="1"/>
    </xf>
    <xf numFmtId="0" fontId="25" fillId="0" borderId="31" xfId="0" applyFont="1" applyFill="1" applyBorder="1" applyAlignment="1" applyProtection="1">
      <alignment horizontal="center" vertical="center" wrapText="1"/>
      <protection hidden="1"/>
    </xf>
    <xf numFmtId="0" fontId="25" fillId="0" borderId="40" xfId="0" applyFont="1" applyFill="1" applyBorder="1" applyAlignment="1" applyProtection="1">
      <alignment horizontal="center" vertical="center" wrapText="1"/>
      <protection hidden="1"/>
    </xf>
    <xf numFmtId="0" fontId="44" fillId="0" borderId="233" xfId="0" applyFont="1" applyBorder="1" applyAlignment="1" applyProtection="1">
      <alignment horizontal="center" vertical="center" wrapText="1"/>
      <protection hidden="1"/>
    </xf>
    <xf numFmtId="0" fontId="44" fillId="0" borderId="184" xfId="0" applyFont="1" applyBorder="1" applyAlignment="1" applyProtection="1">
      <alignment horizontal="center" vertical="center" wrapText="1"/>
      <protection hidden="1"/>
    </xf>
    <xf numFmtId="0" fontId="44" fillId="0" borderId="24" xfId="0" applyFont="1" applyBorder="1" applyAlignment="1" applyProtection="1">
      <alignment horizontal="center" vertical="center" wrapText="1"/>
      <protection hidden="1"/>
    </xf>
    <xf numFmtId="0" fontId="44" fillId="0" borderId="15" xfId="0" applyFont="1" applyBorder="1" applyAlignment="1" applyProtection="1">
      <alignment horizontal="center" vertical="center" wrapText="1"/>
      <protection hidden="1"/>
    </xf>
    <xf numFmtId="0" fontId="44" fillId="0" borderId="234" xfId="0" applyFont="1" applyBorder="1" applyAlignment="1" applyProtection="1">
      <alignment horizontal="center" vertical="center" wrapText="1"/>
      <protection hidden="1"/>
    </xf>
    <xf numFmtId="0" fontId="44" fillId="0" borderId="106" xfId="0" applyFont="1" applyBorder="1" applyAlignment="1" applyProtection="1">
      <alignment horizontal="center" vertical="center" wrapText="1"/>
      <protection hidden="1"/>
    </xf>
    <xf numFmtId="0" fontId="44" fillId="65" borderId="231" xfId="0" applyFont="1" applyFill="1" applyBorder="1" applyAlignment="1" applyProtection="1">
      <alignment horizontal="center" vertical="center"/>
      <protection hidden="1"/>
    </xf>
    <xf numFmtId="0" fontId="44" fillId="65" borderId="27" xfId="0" applyFont="1" applyFill="1" applyBorder="1" applyAlignment="1" applyProtection="1">
      <alignment horizontal="center" vertical="center"/>
      <protection hidden="1"/>
    </xf>
    <xf numFmtId="0" fontId="44" fillId="65" borderId="120" xfId="0" applyFont="1" applyFill="1" applyBorder="1" applyAlignment="1" applyProtection="1">
      <alignment horizontal="center" vertical="center"/>
      <protection hidden="1"/>
    </xf>
    <xf numFmtId="0" fontId="75" fillId="34" borderId="235" xfId="0" applyFont="1" applyFill="1" applyBorder="1" applyAlignment="1" applyProtection="1">
      <alignment horizontal="center" vertical="center"/>
      <protection hidden="1"/>
    </xf>
    <xf numFmtId="0" fontId="75" fillId="34" borderId="31" xfId="0" applyFont="1" applyFill="1" applyBorder="1" applyAlignment="1" applyProtection="1">
      <alignment horizontal="center" vertical="center"/>
      <protection hidden="1"/>
    </xf>
    <xf numFmtId="0" fontId="0" fillId="47" borderId="91" xfId="0" applyFill="1" applyBorder="1" applyAlignment="1" applyProtection="1">
      <alignment horizontal="center" vertical="center"/>
      <protection hidden="1"/>
    </xf>
    <xf numFmtId="0" fontId="0" fillId="47" borderId="92" xfId="0" applyFont="1" applyFill="1" applyBorder="1" applyAlignment="1" applyProtection="1">
      <alignment horizontal="center" vertical="center"/>
      <protection hidden="1"/>
    </xf>
    <xf numFmtId="0" fontId="33" fillId="47" borderId="75" xfId="0" applyFont="1" applyFill="1" applyBorder="1" applyAlignment="1" applyProtection="1">
      <alignment horizontal="center" vertical="center"/>
      <protection hidden="1"/>
    </xf>
    <xf numFmtId="0" fontId="33" fillId="47" borderId="59" xfId="0" applyFont="1" applyFill="1" applyBorder="1" applyAlignment="1" applyProtection="1">
      <alignment horizontal="center" vertical="center"/>
      <protection hidden="1"/>
    </xf>
    <xf numFmtId="0" fontId="44" fillId="0" borderId="233" xfId="0" applyFont="1" applyFill="1" applyBorder="1" applyAlignment="1" applyProtection="1">
      <alignment horizontal="center" vertical="center" wrapText="1"/>
      <protection hidden="1"/>
    </xf>
    <xf numFmtId="0" fontId="44" fillId="0" borderId="184" xfId="0" applyFont="1" applyFill="1" applyBorder="1" applyAlignment="1" applyProtection="1">
      <alignment horizontal="center" vertical="center" wrapText="1"/>
      <protection hidden="1"/>
    </xf>
    <xf numFmtId="0" fontId="44" fillId="0" borderId="24" xfId="0" applyFont="1" applyFill="1" applyBorder="1" applyAlignment="1" applyProtection="1">
      <alignment horizontal="center" vertical="center" wrapText="1"/>
      <protection hidden="1"/>
    </xf>
    <xf numFmtId="0" fontId="44" fillId="0" borderId="15" xfId="0" applyFont="1" applyFill="1" applyBorder="1" applyAlignment="1" applyProtection="1">
      <alignment horizontal="center" vertical="center" wrapText="1"/>
      <protection hidden="1"/>
    </xf>
    <xf numFmtId="0" fontId="44" fillId="0" borderId="52" xfId="0" applyFont="1" applyFill="1" applyBorder="1" applyAlignment="1" applyProtection="1">
      <alignment horizontal="center" vertical="center" wrapText="1"/>
      <protection hidden="1"/>
    </xf>
    <xf numFmtId="0" fontId="44" fillId="0" borderId="11" xfId="0" applyFont="1" applyFill="1" applyBorder="1" applyAlignment="1" applyProtection="1">
      <alignment horizontal="center" vertical="center" wrapText="1"/>
      <protection hidden="1"/>
    </xf>
    <xf numFmtId="0" fontId="44" fillId="65" borderId="144" xfId="0" applyFont="1" applyFill="1" applyBorder="1" applyAlignment="1" applyProtection="1">
      <alignment horizontal="center" vertical="center"/>
      <protection hidden="1"/>
    </xf>
    <xf numFmtId="0" fontId="44" fillId="65" borderId="64" xfId="0" applyFont="1" applyFill="1" applyBorder="1" applyAlignment="1" applyProtection="1">
      <alignment horizontal="center" vertical="center"/>
      <protection hidden="1"/>
    </xf>
    <xf numFmtId="0" fontId="44" fillId="65" borderId="119" xfId="0" applyFont="1" applyFill="1" applyBorder="1" applyAlignment="1" applyProtection="1">
      <alignment horizontal="center" vertical="center"/>
      <protection hidden="1"/>
    </xf>
    <xf numFmtId="0" fontId="29" fillId="0" borderId="0" xfId="0" applyFont="1" applyAlignment="1" applyProtection="1">
      <alignment horizontal="center"/>
      <protection hidden="1"/>
    </xf>
    <xf numFmtId="0" fontId="16" fillId="36" borderId="236" xfId="0" applyFont="1" applyFill="1" applyBorder="1" applyAlignment="1" applyProtection="1">
      <alignment horizontal="center" vertical="center"/>
      <protection hidden="1"/>
    </xf>
    <xf numFmtId="0" fontId="16" fillId="36" borderId="237" xfId="0" applyFont="1" applyFill="1" applyBorder="1" applyAlignment="1" applyProtection="1">
      <alignment horizontal="center" vertical="center"/>
      <protection hidden="1"/>
    </xf>
    <xf numFmtId="0" fontId="33" fillId="34" borderId="238" xfId="0" applyFont="1" applyFill="1" applyBorder="1" applyAlignment="1" applyProtection="1">
      <alignment horizontal="center" vertical="center"/>
      <protection hidden="1"/>
    </xf>
    <xf numFmtId="0" fontId="33" fillId="34" borderId="220" xfId="0" applyFont="1" applyFill="1" applyBorder="1" applyAlignment="1" applyProtection="1">
      <alignment horizontal="center" vertical="center"/>
      <protection hidden="1"/>
    </xf>
    <xf numFmtId="0" fontId="33" fillId="34" borderId="239" xfId="0" applyFont="1" applyFill="1" applyBorder="1" applyAlignment="1" applyProtection="1">
      <alignment horizontal="center" vertical="center"/>
      <protection hidden="1"/>
    </xf>
    <xf numFmtId="0" fontId="26" fillId="0" borderId="0" xfId="0" applyFont="1" applyAlignment="1" applyProtection="1">
      <alignment vertical="center" wrapText="1"/>
      <protection hidden="1"/>
    </xf>
    <xf numFmtId="0" fontId="33" fillId="0" borderId="75" xfId="0" applyFont="1" applyFill="1" applyBorder="1" applyAlignment="1" applyProtection="1">
      <alignment horizontal="center" vertical="center"/>
      <protection hidden="1"/>
    </xf>
    <xf numFmtId="0" fontId="33" fillId="0" borderId="240" xfId="0" applyFont="1" applyFill="1" applyBorder="1" applyAlignment="1" applyProtection="1">
      <alignment horizontal="center" vertical="center"/>
      <protection hidden="1"/>
    </xf>
    <xf numFmtId="0" fontId="33" fillId="0" borderId="17" xfId="0" applyFont="1" applyFill="1" applyBorder="1" applyAlignment="1" applyProtection="1">
      <alignment horizontal="center" vertical="center"/>
      <protection hidden="1"/>
    </xf>
    <xf numFmtId="0" fontId="32" fillId="47" borderId="75" xfId="0" applyFont="1" applyFill="1" applyBorder="1" applyAlignment="1" applyProtection="1">
      <alignment horizontal="center" vertical="center"/>
      <protection hidden="1"/>
    </xf>
    <xf numFmtId="0" fontId="32" fillId="47" borderId="59" xfId="0" applyFont="1" applyFill="1" applyBorder="1" applyAlignment="1" applyProtection="1">
      <alignment horizontal="center" vertical="center"/>
      <protection hidden="1"/>
    </xf>
    <xf numFmtId="0" fontId="23" fillId="0" borderId="27" xfId="0" applyFont="1" applyBorder="1" applyAlignment="1" applyProtection="1">
      <alignment horizontal="center" vertical="center" wrapText="1"/>
      <protection hidden="1"/>
    </xf>
    <xf numFmtId="0" fontId="23" fillId="0" borderId="120" xfId="0" applyFont="1" applyBorder="1" applyAlignment="1" applyProtection="1">
      <alignment horizontal="center" vertical="center" wrapText="1"/>
      <protection hidden="1"/>
    </xf>
    <xf numFmtId="1" fontId="33" fillId="53" borderId="144" xfId="0" applyNumberFormat="1" applyFont="1" applyFill="1" applyBorder="1" applyAlignment="1" applyProtection="1">
      <alignment horizontal="center" vertical="center"/>
      <protection locked="0"/>
    </xf>
    <xf numFmtId="1" fontId="33" fillId="53" borderId="64" xfId="0" applyNumberFormat="1" applyFont="1" applyFill="1" applyBorder="1" applyAlignment="1" applyProtection="1">
      <alignment horizontal="center" vertical="center"/>
      <protection locked="0"/>
    </xf>
    <xf numFmtId="1" fontId="33" fillId="53" borderId="67" xfId="0" applyNumberFormat="1" applyFont="1" applyFill="1" applyBorder="1" applyAlignment="1" applyProtection="1">
      <alignment horizontal="center" vertical="center"/>
      <protection locked="0"/>
    </xf>
    <xf numFmtId="1" fontId="48" fillId="36" borderId="69" xfId="0" applyNumberFormat="1" applyFont="1" applyFill="1" applyBorder="1" applyAlignment="1" applyProtection="1">
      <alignment horizontal="center" vertical="center"/>
      <protection hidden="1"/>
    </xf>
    <xf numFmtId="0" fontId="25" fillId="0" borderId="181" xfId="0" applyFont="1" applyBorder="1" applyAlignment="1" applyProtection="1">
      <alignment horizontal="center" vertical="center" textRotation="90" wrapText="1"/>
      <protection hidden="1"/>
    </xf>
    <xf numFmtId="0" fontId="25" fillId="0" borderId="241" xfId="0" applyFont="1" applyBorder="1" applyAlignment="1" applyProtection="1">
      <alignment horizontal="center" vertical="center" textRotation="90" wrapText="1"/>
      <protection hidden="1"/>
    </xf>
    <xf numFmtId="0" fontId="38" fillId="0" borderId="0" xfId="0" applyFont="1" applyBorder="1" applyAlignment="1" applyProtection="1">
      <alignment horizontal="center" vertical="center" wrapText="1"/>
      <protection hidden="1"/>
    </xf>
    <xf numFmtId="0" fontId="16" fillId="53" borderId="231" xfId="0" applyFont="1" applyFill="1" applyBorder="1" applyAlignment="1" applyProtection="1">
      <alignment horizontal="center" vertical="center"/>
      <protection hidden="1" locked="0"/>
    </xf>
    <xf numFmtId="0" fontId="16" fillId="53" borderId="27" xfId="0" applyFont="1" applyFill="1" applyBorder="1" applyAlignment="1" applyProtection="1">
      <alignment horizontal="center" vertical="center"/>
      <protection hidden="1" locked="0"/>
    </xf>
    <xf numFmtId="0" fontId="16" fillId="53" borderId="31" xfId="0" applyFont="1" applyFill="1" applyBorder="1" applyAlignment="1" applyProtection="1">
      <alignment horizontal="center" vertical="center"/>
      <protection hidden="1" locked="0"/>
    </xf>
    <xf numFmtId="0" fontId="16" fillId="53" borderId="183" xfId="0" applyFont="1" applyFill="1" applyBorder="1" applyAlignment="1" applyProtection="1">
      <alignment horizontal="center" vertical="center"/>
      <protection hidden="1" locked="0"/>
    </xf>
    <xf numFmtId="0" fontId="16" fillId="53" borderId="25" xfId="0" applyFont="1" applyFill="1" applyBorder="1" applyAlignment="1" applyProtection="1">
      <alignment horizontal="center" vertical="center"/>
      <protection hidden="1" locked="0"/>
    </xf>
    <xf numFmtId="0" fontId="16" fillId="53" borderId="88" xfId="0" applyFont="1" applyFill="1" applyBorder="1" applyAlignment="1" applyProtection="1">
      <alignment horizontal="center" vertical="center"/>
      <protection hidden="1" locked="0"/>
    </xf>
    <xf numFmtId="0" fontId="25" fillId="0" borderId="242" xfId="0" applyFont="1" applyBorder="1" applyAlignment="1" applyProtection="1">
      <alignment horizontal="center" vertical="center" textRotation="90"/>
      <protection hidden="1"/>
    </xf>
    <xf numFmtId="0" fontId="25" fillId="0" borderId="182" xfId="0" applyFont="1" applyBorder="1" applyAlignment="1" applyProtection="1">
      <alignment horizontal="center" vertical="center" textRotation="90"/>
      <protection hidden="1"/>
    </xf>
    <xf numFmtId="0" fontId="25" fillId="0" borderId="214" xfId="0" applyFont="1" applyBorder="1" applyAlignment="1" applyProtection="1">
      <alignment horizontal="center" vertical="center" textRotation="90"/>
      <protection hidden="1"/>
    </xf>
    <xf numFmtId="0" fontId="25" fillId="0" borderId="82" xfId="0" applyFont="1" applyBorder="1" applyAlignment="1" applyProtection="1">
      <alignment horizontal="center" vertical="center" textRotation="90"/>
      <protection hidden="1"/>
    </xf>
    <xf numFmtId="0" fontId="16" fillId="33" borderId="15" xfId="0" applyFont="1" applyFill="1" applyBorder="1" applyAlignment="1" applyProtection="1">
      <alignment horizontal="center" vertical="center"/>
      <protection hidden="1"/>
    </xf>
    <xf numFmtId="0" fontId="16" fillId="33" borderId="11" xfId="0" applyFont="1" applyFill="1" applyBorder="1" applyAlignment="1" applyProtection="1">
      <alignment horizontal="center" vertical="center"/>
      <protection hidden="1"/>
    </xf>
    <xf numFmtId="1" fontId="33" fillId="53" borderId="183" xfId="0" applyNumberFormat="1" applyFont="1" applyFill="1" applyBorder="1" applyAlignment="1" applyProtection="1">
      <alignment horizontal="center" vertical="center"/>
      <protection locked="0"/>
    </xf>
    <xf numFmtId="1" fontId="33" fillId="53" borderId="25" xfId="0" applyNumberFormat="1" applyFont="1" applyFill="1" applyBorder="1" applyAlignment="1" applyProtection="1">
      <alignment horizontal="center" vertical="center"/>
      <protection locked="0"/>
    </xf>
    <xf numFmtId="1" fontId="33" fillId="53" borderId="88" xfId="0" applyNumberFormat="1" applyFont="1" applyFill="1" applyBorder="1" applyAlignment="1" applyProtection="1">
      <alignment horizontal="center" vertical="center"/>
      <protection locked="0"/>
    </xf>
    <xf numFmtId="0" fontId="45" fillId="0" borderId="243" xfId="0" applyFont="1" applyBorder="1" applyAlignment="1" applyProtection="1">
      <alignment horizontal="center" wrapText="1"/>
      <protection hidden="1" locked="0"/>
    </xf>
    <xf numFmtId="0" fontId="22" fillId="0" borderId="93" xfId="0" applyFont="1" applyBorder="1" applyAlignment="1" applyProtection="1">
      <alignment horizontal="left" wrapText="1"/>
      <protection hidden="1"/>
    </xf>
    <xf numFmtId="0" fontId="50" fillId="0" borderId="129" xfId="0" applyFont="1" applyBorder="1" applyAlignment="1" applyProtection="1">
      <alignment horizontal="left" vertical="top" wrapText="1"/>
      <protection hidden="1"/>
    </xf>
    <xf numFmtId="0" fontId="50" fillId="0" borderId="0" xfId="0" applyFont="1" applyBorder="1" applyAlignment="1" applyProtection="1">
      <alignment horizontal="left" vertical="top" wrapText="1"/>
      <protection hidden="1"/>
    </xf>
    <xf numFmtId="0" fontId="50" fillId="0" borderId="130" xfId="0" applyFont="1" applyBorder="1" applyAlignment="1" applyProtection="1">
      <alignment horizontal="left" vertical="top" wrapText="1"/>
      <protection hidden="1"/>
    </xf>
    <xf numFmtId="0" fontId="26" fillId="36" borderId="244" xfId="0" applyFont="1" applyFill="1" applyBorder="1" applyAlignment="1" applyProtection="1">
      <alignment horizontal="center" vertical="center"/>
      <protection hidden="1"/>
    </xf>
    <xf numFmtId="0" fontId="26" fillId="36" borderId="151" xfId="0" applyFont="1" applyFill="1" applyBorder="1" applyAlignment="1" applyProtection="1">
      <alignment horizontal="center" vertical="center"/>
      <protection hidden="1"/>
    </xf>
    <xf numFmtId="0" fontId="23" fillId="50" borderId="245" xfId="0" applyFont="1" applyFill="1" applyBorder="1" applyAlignment="1" applyProtection="1">
      <alignment horizontal="center" vertical="center" wrapText="1"/>
      <protection hidden="1"/>
    </xf>
    <xf numFmtId="0" fontId="23" fillId="50" borderId="25" xfId="0" applyFont="1" applyFill="1" applyBorder="1" applyAlignment="1" applyProtection="1">
      <alignment horizontal="center" vertical="center" wrapText="1"/>
      <protection hidden="1"/>
    </xf>
    <xf numFmtId="0" fontId="23" fillId="50" borderId="88" xfId="0" applyFont="1" applyFill="1" applyBorder="1" applyAlignment="1" applyProtection="1">
      <alignment horizontal="center" vertical="center" wrapText="1"/>
      <protection hidden="1"/>
    </xf>
    <xf numFmtId="0" fontId="25" fillId="36" borderId="246" xfId="0" applyFont="1" applyFill="1" applyBorder="1" applyAlignment="1" applyProtection="1">
      <alignment horizontal="center" vertical="center" wrapText="1"/>
      <protection hidden="1"/>
    </xf>
    <xf numFmtId="0" fontId="25" fillId="36" borderId="64" xfId="0" applyFont="1" applyFill="1" applyBorder="1" applyAlignment="1" applyProtection="1">
      <alignment horizontal="center" vertical="center" wrapText="1"/>
      <protection hidden="1"/>
    </xf>
    <xf numFmtId="0" fontId="25" fillId="36" borderId="67" xfId="0" applyFont="1" applyFill="1" applyBorder="1" applyAlignment="1" applyProtection="1">
      <alignment horizontal="center" vertical="center" wrapText="1"/>
      <protection hidden="1"/>
    </xf>
    <xf numFmtId="0" fontId="26" fillId="0" borderId="235" xfId="0" applyFont="1" applyBorder="1" applyAlignment="1" applyProtection="1">
      <alignment horizontal="center" vertical="center" wrapText="1"/>
      <protection hidden="1"/>
    </xf>
    <xf numFmtId="0" fontId="26" fillId="0" borderId="27" xfId="0" applyFont="1" applyBorder="1" applyAlignment="1" applyProtection="1">
      <alignment horizontal="center" vertical="center" wrapText="1"/>
      <protection hidden="1"/>
    </xf>
    <xf numFmtId="0" fontId="26" fillId="0" borderId="31" xfId="0" applyFont="1" applyBorder="1" applyAlignment="1" applyProtection="1">
      <alignment horizontal="center" vertical="center" wrapText="1"/>
      <protection hidden="1"/>
    </xf>
    <xf numFmtId="0" fontId="23" fillId="0" borderId="47" xfId="0" applyFont="1" applyBorder="1" applyAlignment="1" applyProtection="1">
      <alignment horizontal="center" vertical="center" wrapText="1"/>
      <protection hidden="1"/>
    </xf>
    <xf numFmtId="0" fontId="26" fillId="35" borderId="56" xfId="0" applyFont="1" applyFill="1" applyBorder="1" applyAlignment="1" applyProtection="1">
      <alignment horizontal="center" vertical="center"/>
      <protection hidden="1"/>
    </xf>
    <xf numFmtId="0" fontId="26" fillId="35" borderId="55" xfId="0" applyFont="1" applyFill="1" applyBorder="1" applyAlignment="1" applyProtection="1">
      <alignment horizontal="center" vertical="center"/>
      <protection hidden="1"/>
    </xf>
    <xf numFmtId="0" fontId="25" fillId="35" borderId="74" xfId="0" applyFont="1" applyFill="1" applyBorder="1" applyAlignment="1" applyProtection="1">
      <alignment horizontal="center" vertical="center" wrapText="1"/>
      <protection hidden="1"/>
    </xf>
    <xf numFmtId="0" fontId="25" fillId="35" borderId="67" xfId="0" applyFont="1" applyFill="1" applyBorder="1" applyAlignment="1" applyProtection="1">
      <alignment horizontal="center" vertical="center" wrapText="1"/>
      <protection hidden="1"/>
    </xf>
    <xf numFmtId="0" fontId="25" fillId="0" borderId="38" xfId="0" applyFont="1" applyBorder="1" applyAlignment="1" applyProtection="1">
      <alignment horizontal="center" vertical="center" textRotation="90"/>
      <protection hidden="1"/>
    </xf>
    <xf numFmtId="0" fontId="45" fillId="0" borderId="247" xfId="0" applyFont="1" applyBorder="1" applyAlignment="1" applyProtection="1">
      <alignment horizontal="center" wrapText="1"/>
      <protection hidden="1" locked="0"/>
    </xf>
    <xf numFmtId="0" fontId="23" fillId="0" borderId="181" xfId="0" applyFont="1" applyBorder="1" applyAlignment="1" applyProtection="1">
      <alignment horizontal="center" vertical="center" textRotation="90" wrapText="1"/>
      <protection hidden="1"/>
    </xf>
    <xf numFmtId="0" fontId="45" fillId="0" borderId="0" xfId="0" applyFont="1" applyBorder="1" applyAlignment="1" applyProtection="1">
      <alignment horizontal="left" vertical="center" wrapText="1"/>
      <protection hidden="1"/>
    </xf>
    <xf numFmtId="0" fontId="36" fillId="0" borderId="0" xfId="0" applyFont="1" applyBorder="1" applyAlignment="1" applyProtection="1">
      <alignment horizontal="center" vertical="center" wrapText="1"/>
      <protection hidden="1"/>
    </xf>
    <xf numFmtId="0" fontId="70" fillId="0" borderId="0" xfId="0" applyFont="1" applyBorder="1" applyAlignment="1" applyProtection="1">
      <alignment horizontal="left" wrapText="1"/>
      <protection hidden="1"/>
    </xf>
    <xf numFmtId="0" fontId="37" fillId="0" borderId="0" xfId="0" applyFont="1" applyBorder="1" applyAlignment="1" applyProtection="1">
      <alignment horizontal="center" vertical="top" wrapText="1"/>
      <protection hidden="1"/>
    </xf>
    <xf numFmtId="0" fontId="0" fillId="0" borderId="0" xfId="0" applyAlignment="1" applyProtection="1">
      <alignment horizontal="left" wrapText="1"/>
      <protection/>
    </xf>
    <xf numFmtId="0" fontId="26" fillId="48" borderId="55" xfId="0" applyFont="1" applyFill="1" applyBorder="1" applyAlignment="1" applyProtection="1">
      <alignment horizontal="center" vertical="center"/>
      <protection hidden="1"/>
    </xf>
    <xf numFmtId="0" fontId="26" fillId="48" borderId="56" xfId="0" applyFont="1" applyFill="1" applyBorder="1" applyAlignment="1" applyProtection="1">
      <alignment horizontal="center" vertical="center"/>
      <protection hidden="1"/>
    </xf>
    <xf numFmtId="0" fontId="25" fillId="0" borderId="53" xfId="0" applyFont="1" applyBorder="1" applyAlignment="1" applyProtection="1">
      <alignment horizontal="center" vertical="center" textRotation="90"/>
      <protection hidden="1"/>
    </xf>
    <xf numFmtId="0" fontId="26" fillId="48" borderId="248" xfId="0" applyFont="1" applyFill="1" applyBorder="1" applyAlignment="1" applyProtection="1">
      <alignment horizontal="center" vertical="center"/>
      <protection hidden="1"/>
    </xf>
    <xf numFmtId="0" fontId="26" fillId="48" borderId="24" xfId="0" applyFont="1" applyFill="1" applyBorder="1" applyAlignment="1" applyProtection="1">
      <alignment horizontal="center" vertical="center"/>
      <protection hidden="1"/>
    </xf>
    <xf numFmtId="0" fontId="26" fillId="48" borderId="234" xfId="0" applyFont="1" applyFill="1" applyBorder="1" applyAlignment="1" applyProtection="1">
      <alignment horizontal="center" vertical="center"/>
      <protection hidden="1"/>
    </xf>
    <xf numFmtId="0" fontId="26" fillId="48" borderId="249" xfId="0" applyFont="1" applyFill="1" applyBorder="1" applyAlignment="1" applyProtection="1">
      <alignment horizontal="center" vertical="center"/>
      <protection hidden="1"/>
    </xf>
    <xf numFmtId="0" fontId="26" fillId="48" borderId="250" xfId="0" applyFont="1" applyFill="1" applyBorder="1" applyAlignment="1" applyProtection="1">
      <alignment horizontal="center" vertical="center"/>
      <protection hidden="1"/>
    </xf>
    <xf numFmtId="0" fontId="26" fillId="48" borderId="251" xfId="0" applyFont="1" applyFill="1" applyBorder="1" applyAlignment="1" applyProtection="1">
      <alignment horizontal="center" vertical="center"/>
      <protection hidden="1"/>
    </xf>
    <xf numFmtId="0" fontId="26" fillId="34" borderId="48" xfId="0" applyFont="1" applyFill="1" applyBorder="1" applyAlignment="1" applyProtection="1">
      <alignment horizontal="right" vertical="center" wrapText="1"/>
      <protection hidden="1"/>
    </xf>
    <xf numFmtId="0" fontId="26" fillId="34" borderId="49" xfId="0" applyFont="1" applyFill="1" applyBorder="1" applyAlignment="1" applyProtection="1">
      <alignment horizontal="right" vertical="center" wrapText="1"/>
      <protection hidden="1"/>
    </xf>
    <xf numFmtId="0" fontId="25" fillId="34" borderId="73" xfId="0" applyFont="1" applyFill="1" applyBorder="1" applyAlignment="1" applyProtection="1">
      <alignment horizontal="center" vertical="center"/>
      <protection hidden="1"/>
    </xf>
    <xf numFmtId="0" fontId="25" fillId="34" borderId="180" xfId="0" applyFont="1" applyFill="1" applyBorder="1" applyAlignment="1" applyProtection="1">
      <alignment horizontal="center" vertical="center"/>
      <protection hidden="1"/>
    </xf>
    <xf numFmtId="0" fontId="25" fillId="36" borderId="70" xfId="0" applyFont="1" applyFill="1" applyBorder="1" applyAlignment="1" applyProtection="1">
      <alignment horizontal="center" vertical="center"/>
      <protection hidden="1"/>
    </xf>
    <xf numFmtId="2" fontId="41" fillId="34" borderId="114" xfId="0" applyNumberFormat="1" applyFont="1" applyFill="1" applyBorder="1" applyAlignment="1" applyProtection="1">
      <alignment horizontal="right" vertical="center"/>
      <protection hidden="1"/>
    </xf>
    <xf numFmtId="0" fontId="25" fillId="48" borderId="62" xfId="0" applyFont="1" applyFill="1" applyBorder="1" applyAlignment="1" applyProtection="1">
      <alignment horizontal="center" vertical="center"/>
      <protection hidden="1"/>
    </xf>
    <xf numFmtId="0" fontId="25" fillId="48" borderId="29" xfId="0" applyFont="1" applyFill="1" applyBorder="1" applyAlignment="1" applyProtection="1">
      <alignment horizontal="center" vertical="center"/>
      <protection hidden="1"/>
    </xf>
    <xf numFmtId="0" fontId="25" fillId="53" borderId="73" xfId="0" applyFont="1" applyFill="1" applyBorder="1" applyAlignment="1" applyProtection="1">
      <alignment horizontal="center" vertical="center"/>
      <protection hidden="1"/>
    </xf>
    <xf numFmtId="0" fontId="25" fillId="53" borderId="181" xfId="0" applyFont="1" applyFill="1" applyBorder="1" applyAlignment="1" applyProtection="1">
      <alignment horizontal="center" vertical="center"/>
      <protection hidden="1"/>
    </xf>
    <xf numFmtId="0" fontId="23" fillId="0" borderId="252" xfId="0" applyFont="1" applyBorder="1" applyAlignment="1" applyProtection="1">
      <alignment horizontal="center" vertical="center" wrapText="1"/>
      <protection hidden="1"/>
    </xf>
    <xf numFmtId="0" fontId="23" fillId="0" borderId="241" xfId="0" applyFont="1" applyBorder="1" applyAlignment="1" applyProtection="1">
      <alignment horizontal="center" vertical="center" textRotation="90" wrapText="1"/>
      <protection hidden="1"/>
    </xf>
    <xf numFmtId="0" fontId="44" fillId="35" borderId="25" xfId="0" applyFont="1" applyFill="1" applyBorder="1" applyAlignment="1" applyProtection="1">
      <alignment horizontal="center" vertical="center"/>
      <protection hidden="1"/>
    </xf>
    <xf numFmtId="0" fontId="44" fillId="35" borderId="127" xfId="0" applyFont="1" applyFill="1" applyBorder="1" applyAlignment="1" applyProtection="1">
      <alignment horizontal="center" vertical="center"/>
      <protection hidden="1"/>
    </xf>
    <xf numFmtId="0" fontId="0" fillId="47" borderId="0" xfId="0" applyFill="1" applyAlignment="1" applyProtection="1">
      <alignment horizontal="center"/>
      <protection locked="0"/>
    </xf>
    <xf numFmtId="0" fontId="85" fillId="0" borderId="0" xfId="0" applyFont="1" applyAlignment="1" applyProtection="1">
      <alignment wrapText="1"/>
      <protection hidden="1"/>
    </xf>
    <xf numFmtId="0" fontId="26" fillId="34" borderId="38" xfId="0" applyFont="1" applyFill="1" applyBorder="1" applyAlignment="1" applyProtection="1">
      <alignment horizontal="center" vertical="center" wrapText="1"/>
      <protection hidden="1"/>
    </xf>
    <xf numFmtId="0" fontId="26" fillId="34" borderId="121" xfId="0" applyFont="1" applyFill="1" applyBorder="1" applyAlignment="1" applyProtection="1">
      <alignment horizontal="center" vertical="center" wrapText="1"/>
      <protection hidden="1"/>
    </xf>
    <xf numFmtId="0" fontId="25" fillId="34" borderId="181" xfId="0" applyFont="1" applyFill="1" applyBorder="1" applyAlignment="1" applyProtection="1">
      <alignment horizontal="center" vertical="center"/>
      <protection hidden="1"/>
    </xf>
    <xf numFmtId="0" fontId="25" fillId="48" borderId="28" xfId="0" applyFont="1" applyFill="1" applyBorder="1" applyAlignment="1" applyProtection="1">
      <alignment horizontal="center" vertical="center"/>
      <protection hidden="1"/>
    </xf>
    <xf numFmtId="0" fontId="25" fillId="48" borderId="63" xfId="0" applyFont="1" applyFill="1" applyBorder="1" applyAlignment="1" applyProtection="1">
      <alignment horizontal="center" vertical="center"/>
      <protection hidden="1"/>
    </xf>
    <xf numFmtId="0" fontId="26" fillId="48" borderId="60" xfId="0" applyFont="1" applyFill="1" applyBorder="1" applyAlignment="1" applyProtection="1">
      <alignment horizontal="center" vertical="center"/>
      <protection hidden="1"/>
    </xf>
    <xf numFmtId="0" fontId="26" fillId="48" borderId="57" xfId="0" applyFont="1" applyFill="1" applyBorder="1" applyAlignment="1" applyProtection="1">
      <alignment horizontal="center" vertical="center"/>
      <protection hidden="1"/>
    </xf>
    <xf numFmtId="0" fontId="26" fillId="53" borderId="56" xfId="0" applyFont="1" applyFill="1" applyBorder="1" applyAlignment="1" applyProtection="1">
      <alignment horizontal="center" vertical="center" wrapText="1"/>
      <protection hidden="1"/>
    </xf>
    <xf numFmtId="0" fontId="26" fillId="53" borderId="38" xfId="0" applyFont="1" applyFill="1" applyBorder="1" applyAlignment="1" applyProtection="1">
      <alignment horizontal="center" vertical="center" wrapText="1"/>
      <protection hidden="1"/>
    </xf>
    <xf numFmtId="0" fontId="25" fillId="35" borderId="242" xfId="0" applyFont="1" applyFill="1" applyBorder="1" applyAlignment="1" applyProtection="1">
      <alignment horizontal="center" vertical="center" wrapText="1"/>
      <protection hidden="1"/>
    </xf>
    <xf numFmtId="0" fontId="25" fillId="35" borderId="88" xfId="0" applyFont="1" applyFill="1" applyBorder="1" applyAlignment="1" applyProtection="1">
      <alignment horizontal="center" vertical="center" wrapText="1"/>
      <protection hidden="1"/>
    </xf>
    <xf numFmtId="0" fontId="25" fillId="35" borderId="74" xfId="0" applyFont="1" applyFill="1" applyBorder="1" applyAlignment="1" applyProtection="1">
      <alignment vertical="center" wrapText="1"/>
      <protection hidden="1"/>
    </xf>
    <xf numFmtId="0" fontId="25" fillId="35" borderId="67" xfId="0" applyFont="1" applyFill="1" applyBorder="1" applyAlignment="1" applyProtection="1">
      <alignment vertical="center" wrapText="1"/>
      <protection hidden="1"/>
    </xf>
    <xf numFmtId="0" fontId="44" fillId="0" borderId="0" xfId="0" applyFont="1" applyAlignment="1" applyProtection="1">
      <alignment horizontal="right" wrapText="1"/>
      <protection hidden="1"/>
    </xf>
    <xf numFmtId="0" fontId="44" fillId="0" borderId="0" xfId="0" applyFont="1" applyBorder="1" applyAlignment="1" applyProtection="1">
      <alignment horizontal="right" wrapText="1"/>
      <protection hidden="1"/>
    </xf>
    <xf numFmtId="0" fontId="16" fillId="0" borderId="10" xfId="0" applyFont="1" applyFill="1" applyBorder="1" applyAlignment="1" applyProtection="1">
      <alignment horizontal="center" vertical="center"/>
      <protection/>
    </xf>
    <xf numFmtId="0" fontId="0" fillId="0" borderId="0" xfId="0" applyAlignment="1" applyProtection="1">
      <alignment horizontal="center" wrapText="1"/>
      <protection hidden="1"/>
    </xf>
    <xf numFmtId="0" fontId="0" fillId="0" borderId="0" xfId="0" applyAlignment="1" applyProtection="1">
      <alignment wrapText="1"/>
      <protection/>
    </xf>
    <xf numFmtId="0" fontId="0" fillId="0" borderId="0" xfId="0" applyAlignment="1" applyProtection="1">
      <alignment horizontal="center" wrapText="1"/>
      <protection/>
    </xf>
    <xf numFmtId="0" fontId="0" fillId="0" borderId="0" xfId="0" applyAlignment="1" applyProtection="1">
      <alignment horizontal="left" wrapText="1"/>
      <protection locked="0"/>
    </xf>
    <xf numFmtId="0" fontId="0" fillId="0" borderId="0" xfId="0" applyFont="1" applyFill="1" applyAlignment="1" applyProtection="1">
      <alignment horizontal="center" wrapText="1"/>
      <protection/>
    </xf>
    <xf numFmtId="0" fontId="0" fillId="68" borderId="0" xfId="0" applyFill="1" applyAlignment="1" applyProtection="1">
      <alignment horizontal="center" wrapText="1"/>
      <protection/>
    </xf>
    <xf numFmtId="0" fontId="0" fillId="0" borderId="0" xfId="0" applyBorder="1" applyAlignment="1" applyProtection="1">
      <alignment horizontal="center"/>
      <protection/>
    </xf>
    <xf numFmtId="0" fontId="0" fillId="0" borderId="0" xfId="0" applyFill="1" applyAlignment="1" applyProtection="1">
      <alignment horizontal="center" textRotation="90" wrapText="1"/>
      <protection/>
    </xf>
    <xf numFmtId="1" fontId="0" fillId="64" borderId="104" xfId="0" applyNumberFormat="1" applyFill="1" applyBorder="1" applyAlignment="1" applyProtection="1">
      <alignment horizontal="center" vertical="center"/>
      <protection/>
    </xf>
    <xf numFmtId="0" fontId="0" fillId="64" borderId="0" xfId="0" applyFill="1" applyBorder="1" applyAlignment="1" applyProtection="1">
      <alignment horizontal="center" vertical="center"/>
      <protection/>
    </xf>
    <xf numFmtId="0" fontId="0" fillId="64" borderId="86" xfId="0" applyFill="1" applyBorder="1" applyAlignment="1" applyProtection="1">
      <alignment horizontal="center" vertical="center"/>
      <protection/>
    </xf>
    <xf numFmtId="0" fontId="0" fillId="0" borderId="0" xfId="0" applyFill="1" applyBorder="1" applyAlignment="1">
      <alignment horizontal="center" wrapText="1"/>
    </xf>
    <xf numFmtId="0" fontId="0" fillId="64" borderId="134" xfId="0" applyFill="1" applyBorder="1" applyAlignment="1" applyProtection="1">
      <alignment horizontal="center" vertical="center"/>
      <protection/>
    </xf>
    <xf numFmtId="0" fontId="0" fillId="64" borderId="130" xfId="0" applyFill="1" applyBorder="1" applyAlignment="1" applyProtection="1">
      <alignment horizontal="center" vertical="center"/>
      <protection/>
    </xf>
    <xf numFmtId="0" fontId="0" fillId="64" borderId="132" xfId="0" applyFill="1" applyBorder="1" applyAlignment="1" applyProtection="1">
      <alignment horizontal="center" vertical="center"/>
      <protection/>
    </xf>
    <xf numFmtId="0" fontId="0" fillId="64" borderId="133" xfId="0" applyFill="1" applyBorder="1" applyAlignment="1" applyProtection="1">
      <alignment horizontal="center"/>
      <protection/>
    </xf>
    <xf numFmtId="0" fontId="0" fillId="64" borderId="129" xfId="0" applyFill="1" applyBorder="1" applyAlignment="1" applyProtection="1">
      <alignment horizontal="center"/>
      <protection/>
    </xf>
    <xf numFmtId="0" fontId="0" fillId="64" borderId="131" xfId="0" applyFill="1" applyBorder="1" applyAlignment="1" applyProtection="1">
      <alignment horizontal="center"/>
      <protection/>
    </xf>
    <xf numFmtId="0" fontId="0" fillId="64" borderId="104" xfId="0" applyFill="1" applyBorder="1" applyAlignment="1" applyProtection="1">
      <alignment horizontal="center"/>
      <protection/>
    </xf>
    <xf numFmtId="0" fontId="0" fillId="64" borderId="0" xfId="0" applyFill="1" applyBorder="1" applyAlignment="1" applyProtection="1">
      <alignment horizontal="center"/>
      <protection/>
    </xf>
    <xf numFmtId="0" fontId="0" fillId="64" borderId="86" xfId="0" applyFill="1" applyBorder="1" applyAlignment="1" applyProtection="1">
      <alignment horizontal="center"/>
      <protection/>
    </xf>
    <xf numFmtId="0" fontId="16" fillId="36" borderId="61" xfId="0" applyFont="1" applyFill="1" applyBorder="1" applyAlignment="1" applyProtection="1">
      <alignment horizontal="center" vertical="center"/>
      <protection hidden="1"/>
    </xf>
    <xf numFmtId="0" fontId="26" fillId="34" borderId="49" xfId="0" applyFont="1" applyFill="1" applyBorder="1" applyAlignment="1" applyProtection="1">
      <alignment horizontal="center" vertical="center" wrapText="1"/>
      <protection/>
    </xf>
    <xf numFmtId="2" fontId="41" fillId="34" borderId="114" xfId="0" applyNumberFormat="1" applyFont="1" applyFill="1" applyBorder="1" applyAlignment="1" applyProtection="1">
      <alignment horizontal="right" vertical="center"/>
      <protection/>
    </xf>
    <xf numFmtId="0" fontId="41" fillId="34" borderId="179" xfId="0" applyFont="1" applyFill="1" applyBorder="1" applyAlignment="1" applyProtection="1">
      <alignment horizontal="center" vertical="center"/>
      <protection/>
    </xf>
    <xf numFmtId="0" fontId="41" fillId="34" borderId="49" xfId="0" applyFont="1" applyFill="1" applyBorder="1" applyAlignment="1" applyProtection="1">
      <alignment horizontal="center" vertical="center"/>
      <protection/>
    </xf>
    <xf numFmtId="1" fontId="48" fillId="36" borderId="69" xfId="0" applyNumberFormat="1" applyFont="1" applyFill="1" applyBorder="1" applyAlignment="1" applyProtection="1">
      <alignment horizontal="center" vertical="center"/>
      <protection/>
    </xf>
    <xf numFmtId="0" fontId="25" fillId="0" borderId="0" xfId="0" applyFont="1" applyFill="1" applyBorder="1" applyAlignment="1" applyProtection="1">
      <alignment horizontal="center" vertical="center" wrapText="1"/>
      <protection/>
    </xf>
    <xf numFmtId="0" fontId="25" fillId="0" borderId="15" xfId="0" applyFont="1" applyFill="1" applyBorder="1" applyAlignment="1" applyProtection="1">
      <alignment horizontal="center" vertical="center" wrapText="1"/>
      <protection/>
    </xf>
    <xf numFmtId="0" fontId="25" fillId="0" borderId="143" xfId="0" applyFont="1" applyFill="1" applyBorder="1" applyAlignment="1" applyProtection="1">
      <alignment horizontal="center" vertical="center" wrapText="1"/>
      <protection/>
    </xf>
    <xf numFmtId="0" fontId="25" fillId="0" borderId="66" xfId="0" applyFont="1" applyFill="1" applyBorder="1" applyAlignment="1" applyProtection="1">
      <alignment horizontal="center" vertical="center" wrapText="1"/>
      <protection/>
    </xf>
    <xf numFmtId="1" fontId="33" fillId="34" borderId="183" xfId="0" applyNumberFormat="1" applyFont="1" applyFill="1" applyBorder="1" applyAlignment="1" applyProtection="1">
      <alignment horizontal="center" vertical="center"/>
      <protection/>
    </xf>
    <xf numFmtId="1" fontId="33" fillId="34" borderId="25" xfId="0" applyNumberFormat="1" applyFont="1" applyFill="1" applyBorder="1" applyAlignment="1" applyProtection="1">
      <alignment horizontal="center" vertical="center"/>
      <protection/>
    </xf>
    <xf numFmtId="1" fontId="33" fillId="34" borderId="182" xfId="0" applyNumberFormat="1" applyFont="1" applyFill="1" applyBorder="1" applyAlignment="1" applyProtection="1">
      <alignment horizontal="center" vertical="center"/>
      <protection/>
    </xf>
    <xf numFmtId="0" fontId="26" fillId="36" borderId="107" xfId="0" applyFont="1" applyFill="1" applyBorder="1" applyAlignment="1" applyProtection="1">
      <alignment horizontal="center" vertical="center"/>
      <protection/>
    </xf>
    <xf numFmtId="0" fontId="26" fillId="36" borderId="13" xfId="0" applyFont="1" applyFill="1" applyBorder="1" applyAlignment="1" applyProtection="1">
      <alignment horizontal="center" vertical="center"/>
      <protection/>
    </xf>
    <xf numFmtId="0" fontId="25" fillId="35" borderId="63" xfId="0" applyFont="1" applyFill="1" applyBorder="1" applyAlignment="1" applyProtection="1">
      <alignment horizontal="center" vertical="center" wrapText="1"/>
      <protection/>
    </xf>
    <xf numFmtId="0" fontId="25" fillId="35" borderId="106" xfId="0" applyFont="1" applyFill="1" applyBorder="1" applyAlignment="1" applyProtection="1">
      <alignment horizontal="center" vertical="center" wrapText="1"/>
      <protection/>
    </xf>
    <xf numFmtId="0" fontId="25" fillId="35" borderId="74" xfId="0" applyFont="1" applyFill="1" applyBorder="1" applyAlignment="1" applyProtection="1">
      <alignment vertical="center" wrapText="1"/>
      <protection/>
    </xf>
    <xf numFmtId="0" fontId="25" fillId="35" borderId="67" xfId="0" applyFont="1" applyFill="1" applyBorder="1" applyAlignment="1" applyProtection="1">
      <alignment vertical="center" wrapText="1"/>
      <protection/>
    </xf>
    <xf numFmtId="0" fontId="25" fillId="48" borderId="28" xfId="0" applyFont="1" applyFill="1" applyBorder="1" applyAlignment="1" applyProtection="1">
      <alignment horizontal="center" vertical="center"/>
      <protection/>
    </xf>
    <xf numFmtId="0" fontId="25" fillId="48" borderId="63" xfId="0" applyFont="1" applyFill="1" applyBorder="1" applyAlignment="1" applyProtection="1">
      <alignment horizontal="center" vertical="center"/>
      <protection/>
    </xf>
    <xf numFmtId="0" fontId="25" fillId="34" borderId="181" xfId="0" applyFont="1" applyFill="1" applyBorder="1" applyAlignment="1" applyProtection="1">
      <alignment horizontal="center" vertical="center"/>
      <protection/>
    </xf>
    <xf numFmtId="0" fontId="25" fillId="34" borderId="73" xfId="0" applyFont="1" applyFill="1" applyBorder="1" applyAlignment="1" applyProtection="1">
      <alignment horizontal="center" vertical="center"/>
      <protection/>
    </xf>
    <xf numFmtId="0" fontId="25" fillId="34" borderId="180" xfId="0" applyFont="1" applyFill="1" applyBorder="1" applyAlignment="1" applyProtection="1">
      <alignment horizontal="center" vertical="center"/>
      <protection/>
    </xf>
    <xf numFmtId="0" fontId="25" fillId="36" borderId="70" xfId="0" applyFont="1" applyFill="1" applyBorder="1" applyAlignment="1" applyProtection="1">
      <alignment horizontal="center" vertical="center"/>
      <protection/>
    </xf>
    <xf numFmtId="0" fontId="0" fillId="64" borderId="0" xfId="0" applyFont="1" applyFill="1" applyBorder="1" applyAlignment="1" applyProtection="1">
      <alignment horizontal="center"/>
      <protection/>
    </xf>
    <xf numFmtId="0" fontId="0" fillId="64" borderId="86" xfId="0" applyFont="1" applyFill="1" applyBorder="1" applyAlignment="1" applyProtection="1">
      <alignment horizontal="center"/>
      <protection/>
    </xf>
    <xf numFmtId="0" fontId="26" fillId="48" borderId="231" xfId="0" applyFont="1" applyFill="1" applyBorder="1" applyAlignment="1" applyProtection="1">
      <alignment horizontal="center" vertical="center"/>
      <protection hidden="1"/>
    </xf>
    <xf numFmtId="0" fontId="26" fillId="48" borderId="27" xfId="0" applyFont="1" applyFill="1" applyBorder="1" applyAlignment="1" applyProtection="1">
      <alignment horizontal="center" vertical="center"/>
      <protection hidden="1"/>
    </xf>
    <xf numFmtId="0" fontId="26" fillId="48" borderId="82" xfId="0" applyFont="1" applyFill="1" applyBorder="1" applyAlignment="1" applyProtection="1">
      <alignment horizontal="center" vertical="center"/>
      <protection hidden="1"/>
    </xf>
    <xf numFmtId="0" fontId="16" fillId="36" borderId="183" xfId="0" applyFont="1" applyFill="1" applyBorder="1" applyAlignment="1" applyProtection="1">
      <alignment horizontal="center" vertical="center"/>
      <protection hidden="1"/>
    </xf>
    <xf numFmtId="0" fontId="16" fillId="36" borderId="25" xfId="0" applyFont="1" applyFill="1" applyBorder="1" applyAlignment="1" applyProtection="1">
      <alignment horizontal="center" vertical="center"/>
      <protection hidden="1"/>
    </xf>
    <xf numFmtId="0" fontId="16" fillId="36" borderId="23" xfId="0" applyFont="1" applyFill="1" applyBorder="1" applyAlignment="1" applyProtection="1">
      <alignment horizontal="center" vertical="center"/>
      <protection hidden="1"/>
    </xf>
    <xf numFmtId="0" fontId="26" fillId="48" borderId="143" xfId="0" applyFont="1" applyFill="1" applyBorder="1" applyAlignment="1" applyProtection="1">
      <alignment horizontal="center" vertical="center"/>
      <protection/>
    </xf>
    <xf numFmtId="0" fontId="26" fillId="48" borderId="66" xfId="0" applyFont="1" applyFill="1" applyBorder="1" applyAlignment="1" applyProtection="1">
      <alignment horizontal="center" vertical="center"/>
      <protection/>
    </xf>
    <xf numFmtId="0" fontId="26" fillId="34" borderId="23" xfId="0" applyFont="1" applyFill="1" applyBorder="1" applyAlignment="1" applyProtection="1">
      <alignment horizontal="center" vertical="center" wrapText="1"/>
      <protection/>
    </xf>
    <xf numFmtId="0" fontId="26" fillId="34" borderId="61" xfId="0" applyFont="1" applyFill="1" applyBorder="1" applyAlignment="1" applyProtection="1">
      <alignment horizontal="center" vertical="center" wrapText="1"/>
      <protection/>
    </xf>
    <xf numFmtId="0" fontId="26" fillId="48" borderId="144" xfId="0" applyFont="1" applyFill="1" applyBorder="1" applyAlignment="1" applyProtection="1">
      <alignment horizontal="center" vertical="center"/>
      <protection hidden="1"/>
    </xf>
    <xf numFmtId="0" fontId="26" fillId="48" borderId="64" xfId="0" applyFont="1" applyFill="1" applyBorder="1" applyAlignment="1" applyProtection="1">
      <alignment horizontal="center" vertical="center"/>
      <protection hidden="1"/>
    </xf>
    <xf numFmtId="0" fontId="26" fillId="48" borderId="83" xfId="0" applyFont="1" applyFill="1" applyBorder="1" applyAlignment="1" applyProtection="1">
      <alignment horizontal="center" vertical="center"/>
      <protection hidden="1"/>
    </xf>
    <xf numFmtId="0" fontId="26" fillId="35" borderId="25" xfId="0" applyFont="1" applyFill="1" applyBorder="1" applyAlignment="1" applyProtection="1">
      <alignment horizontal="center" vertical="center"/>
      <protection/>
    </xf>
    <xf numFmtId="0" fontId="26" fillId="35" borderId="182" xfId="0" applyFont="1" applyFill="1" applyBorder="1" applyAlignment="1" applyProtection="1">
      <alignment horizontal="center" vertical="center"/>
      <protection/>
    </xf>
    <xf numFmtId="0" fontId="26" fillId="35" borderId="144" xfId="0" applyFont="1" applyFill="1" applyBorder="1" applyAlignment="1" applyProtection="1">
      <alignment horizontal="center" vertical="center"/>
      <protection hidden="1"/>
    </xf>
    <xf numFmtId="0" fontId="26" fillId="35" borderId="64" xfId="0" applyFont="1" applyFill="1" applyBorder="1" applyAlignment="1" applyProtection="1">
      <alignment horizontal="center" vertical="center"/>
      <protection hidden="1"/>
    </xf>
    <xf numFmtId="0" fontId="26" fillId="35" borderId="83" xfId="0" applyFont="1" applyFill="1" applyBorder="1" applyAlignment="1" applyProtection="1">
      <alignment horizontal="center" vertical="center"/>
      <protection hidden="1"/>
    </xf>
    <xf numFmtId="1" fontId="33" fillId="34" borderId="231" xfId="0" applyNumberFormat="1" applyFont="1" applyFill="1" applyBorder="1" applyAlignment="1" applyProtection="1">
      <alignment horizontal="center" vertical="center"/>
      <protection/>
    </xf>
    <xf numFmtId="1" fontId="33" fillId="34" borderId="27" xfId="0" applyNumberFormat="1" applyFont="1" applyFill="1" applyBorder="1" applyAlignment="1" applyProtection="1">
      <alignment horizontal="center" vertical="center"/>
      <protection/>
    </xf>
    <xf numFmtId="1" fontId="33" fillId="34" borderId="82" xfId="0" applyNumberFormat="1" applyFont="1" applyFill="1" applyBorder="1" applyAlignment="1" applyProtection="1">
      <alignment horizontal="center" vertical="center"/>
      <protection/>
    </xf>
    <xf numFmtId="0" fontId="16" fillId="33" borderId="184" xfId="0" applyFont="1" applyFill="1" applyBorder="1" applyAlignment="1" applyProtection="1">
      <alignment horizontal="center" vertical="center"/>
      <protection hidden="1"/>
    </xf>
    <xf numFmtId="0" fontId="16" fillId="33" borderId="153" xfId="0" applyFont="1" applyFill="1" applyBorder="1" applyAlignment="1" applyProtection="1">
      <alignment horizontal="center" vertical="center"/>
      <protection hidden="1"/>
    </xf>
    <xf numFmtId="0" fontId="0" fillId="64" borderId="104"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0" xfId="0" applyFill="1" applyBorder="1" applyAlignment="1">
      <alignment horizontal="left" wrapText="1"/>
    </xf>
    <xf numFmtId="0" fontId="26" fillId="0" borderId="0" xfId="0" applyFont="1" applyAlignment="1" applyProtection="1">
      <alignment vertical="center" wrapText="1"/>
      <protection/>
    </xf>
    <xf numFmtId="0" fontId="0" fillId="0" borderId="0" xfId="0" applyFont="1" applyFill="1" applyBorder="1" applyAlignment="1" applyProtection="1">
      <alignment horizontal="center" wrapText="1"/>
      <protection/>
    </xf>
    <xf numFmtId="0" fontId="33" fillId="0" borderId="93" xfId="0" applyFont="1" applyFill="1" applyBorder="1" applyAlignment="1" applyProtection="1">
      <alignment horizontal="center" vertical="center"/>
      <protection hidden="1" locked="0"/>
    </xf>
    <xf numFmtId="0" fontId="33" fillId="0" borderId="10" xfId="0" applyFont="1" applyFill="1" applyBorder="1" applyAlignment="1" applyProtection="1">
      <alignment horizontal="center" vertical="center"/>
      <protection hidden="1" locked="0"/>
    </xf>
    <xf numFmtId="0" fontId="0" fillId="0" borderId="0" xfId="0" applyFont="1" applyFill="1" applyBorder="1" applyAlignment="1" applyProtection="1">
      <alignment horizontal="center"/>
      <protection hidden="1"/>
    </xf>
    <xf numFmtId="1" fontId="33" fillId="66" borderId="253" xfId="0" applyNumberFormat="1" applyFont="1" applyFill="1" applyBorder="1" applyAlignment="1" applyProtection="1">
      <alignment horizontal="center" vertical="center"/>
      <protection locked="0"/>
    </xf>
    <xf numFmtId="1" fontId="33" fillId="66" borderId="25" xfId="0" applyNumberFormat="1" applyFont="1" applyFill="1" applyBorder="1" applyAlignment="1" applyProtection="1">
      <alignment horizontal="center" vertical="center"/>
      <protection locked="0"/>
    </xf>
    <xf numFmtId="1" fontId="33" fillId="66" borderId="182" xfId="0" applyNumberFormat="1" applyFont="1" applyFill="1" applyBorder="1" applyAlignment="1" applyProtection="1">
      <alignment horizontal="center" vertical="center"/>
      <protection locked="0"/>
    </xf>
    <xf numFmtId="0" fontId="25" fillId="0" borderId="28" xfId="0" applyFont="1" applyFill="1" applyBorder="1" applyAlignment="1" applyProtection="1">
      <alignment horizontal="center" vertical="center" wrapText="1"/>
      <protection/>
    </xf>
    <xf numFmtId="0" fontId="25" fillId="0" borderId="63" xfId="0" applyFont="1" applyFill="1" applyBorder="1" applyAlignment="1" applyProtection="1">
      <alignment horizontal="center" vertical="center" wrapText="1"/>
      <protection/>
    </xf>
    <xf numFmtId="0" fontId="25" fillId="0" borderId="10" xfId="0" applyFont="1" applyFill="1" applyBorder="1" applyAlignment="1" applyProtection="1">
      <alignment horizontal="center" vertical="center" wrapText="1"/>
      <protection/>
    </xf>
    <xf numFmtId="0" fontId="25" fillId="0" borderId="11" xfId="0" applyFont="1" applyFill="1" applyBorder="1" applyAlignment="1" applyProtection="1">
      <alignment horizontal="center" vertical="center" wrapText="1"/>
      <protection/>
    </xf>
    <xf numFmtId="0" fontId="26" fillId="0" borderId="0" xfId="0" applyFont="1" applyFill="1" applyBorder="1" applyAlignment="1" applyProtection="1">
      <alignment horizontal="center" vertical="center" wrapText="1"/>
      <protection/>
    </xf>
    <xf numFmtId="0" fontId="26" fillId="0" borderId="104" xfId="0" applyFont="1" applyFill="1" applyBorder="1" applyAlignment="1" applyProtection="1">
      <alignment horizontal="center" vertical="center" wrapText="1"/>
      <protection/>
    </xf>
    <xf numFmtId="0" fontId="26" fillId="0" borderId="10" xfId="0" applyFont="1" applyFill="1" applyBorder="1" applyAlignment="1" applyProtection="1">
      <alignment horizontal="center" vertical="center" wrapText="1"/>
      <protection/>
    </xf>
    <xf numFmtId="0" fontId="26" fillId="0" borderId="104" xfId="0" applyFont="1" applyBorder="1" applyAlignment="1" applyProtection="1">
      <alignment horizontal="center" vertical="center" wrapText="1"/>
      <protection/>
    </xf>
    <xf numFmtId="0" fontId="26" fillId="0" borderId="0" xfId="0" applyFont="1" applyBorder="1" applyAlignment="1" applyProtection="1">
      <alignment horizontal="center" vertical="center" wrapText="1"/>
      <protection/>
    </xf>
    <xf numFmtId="0" fontId="26" fillId="0" borderId="86" xfId="0" applyFont="1" applyBorder="1" applyAlignment="1" applyProtection="1">
      <alignment horizontal="center" vertical="center" wrapText="1"/>
      <protection/>
    </xf>
    <xf numFmtId="1" fontId="33" fillId="66" borderId="154" xfId="0" applyNumberFormat="1" applyFont="1" applyFill="1" applyBorder="1" applyAlignment="1" applyProtection="1">
      <alignment horizontal="center" vertical="center"/>
      <protection locked="0"/>
    </xf>
    <xf numFmtId="1" fontId="33" fillId="66" borderId="27" xfId="0" applyNumberFormat="1" applyFont="1" applyFill="1" applyBorder="1" applyAlignment="1" applyProtection="1">
      <alignment horizontal="center" vertical="center"/>
      <protection locked="0"/>
    </xf>
    <xf numFmtId="1" fontId="33" fillId="66" borderId="82" xfId="0" applyNumberFormat="1" applyFont="1" applyFill="1" applyBorder="1" applyAlignment="1" applyProtection="1">
      <alignment horizontal="center" vertical="center"/>
      <protection locked="0"/>
    </xf>
    <xf numFmtId="0" fontId="36" fillId="0" borderId="254" xfId="0" applyFont="1" applyBorder="1" applyAlignment="1" applyProtection="1">
      <alignment horizontal="center" vertical="center" wrapText="1"/>
      <protection hidden="1"/>
    </xf>
    <xf numFmtId="0" fontId="0" fillId="73" borderId="0" xfId="0" applyFill="1" applyAlignment="1" applyProtection="1">
      <alignment horizontal="center"/>
      <protection/>
    </xf>
    <xf numFmtId="0" fontId="44" fillId="0" borderId="0" xfId="0" applyFont="1" applyAlignment="1" applyProtection="1">
      <alignment horizontal="center"/>
      <protection/>
    </xf>
    <xf numFmtId="0" fontId="45" fillId="0" borderId="0" xfId="0" applyFont="1" applyBorder="1" applyAlignment="1" applyProtection="1">
      <alignment horizontal="center" vertical="center" wrapText="1"/>
      <protection hidden="1"/>
    </xf>
    <xf numFmtId="0" fontId="36" fillId="0" borderId="0" xfId="0" applyFont="1" applyAlignment="1" applyProtection="1">
      <alignment horizontal="center" vertical="center" wrapText="1"/>
      <protection/>
    </xf>
    <xf numFmtId="0" fontId="25" fillId="35" borderId="74" xfId="0" applyFont="1" applyFill="1" applyBorder="1" applyAlignment="1" applyProtection="1">
      <alignment horizontal="center" vertical="center" wrapText="1"/>
      <protection/>
    </xf>
    <xf numFmtId="0" fontId="25" fillId="35" borderId="67" xfId="0" applyFont="1" applyFill="1" applyBorder="1" applyAlignment="1" applyProtection="1">
      <alignment horizontal="center" vertical="center" wrapText="1"/>
      <protection/>
    </xf>
    <xf numFmtId="0" fontId="26" fillId="48" borderId="65" xfId="0" applyFont="1" applyFill="1" applyBorder="1" applyAlignment="1" applyProtection="1">
      <alignment horizontal="center" vertical="center"/>
      <protection/>
    </xf>
    <xf numFmtId="0" fontId="26" fillId="48" borderId="26" xfId="0" applyFont="1" applyFill="1" applyBorder="1" applyAlignment="1" applyProtection="1">
      <alignment horizontal="center" vertical="center"/>
      <protection/>
    </xf>
    <xf numFmtId="0" fontId="69" fillId="0" borderId="0" xfId="0" applyFont="1" applyFill="1" applyBorder="1" applyAlignment="1" applyProtection="1">
      <alignment horizontal="center" vertical="center"/>
      <protection/>
    </xf>
    <xf numFmtId="0" fontId="25" fillId="50" borderId="35" xfId="0" applyFont="1" applyFill="1" applyBorder="1" applyAlignment="1" applyProtection="1">
      <alignment horizontal="center" vertical="center" wrapText="1"/>
      <protection/>
    </xf>
    <xf numFmtId="0" fontId="25" fillId="50" borderId="36" xfId="0" applyFont="1" applyFill="1" applyBorder="1" applyAlignment="1" applyProtection="1">
      <alignment horizontal="center" vertical="center" wrapText="1"/>
      <protection/>
    </xf>
    <xf numFmtId="0" fontId="25" fillId="0" borderId="0" xfId="0" applyFont="1" applyAlignment="1" applyProtection="1">
      <alignment horizontal="center" wrapText="1"/>
      <protection/>
    </xf>
    <xf numFmtId="0" fontId="26" fillId="53" borderId="66" xfId="0" applyFont="1" applyFill="1" applyBorder="1" applyAlignment="1" applyProtection="1">
      <alignment horizontal="center" vertical="center" wrapText="1"/>
      <protection/>
    </xf>
    <xf numFmtId="0" fontId="26" fillId="53" borderId="23" xfId="0" applyFont="1" applyFill="1" applyBorder="1" applyAlignment="1" applyProtection="1">
      <alignment horizontal="center" vertical="center" wrapText="1"/>
      <protection/>
    </xf>
    <xf numFmtId="0" fontId="25" fillId="48" borderId="62" xfId="0" applyFont="1" applyFill="1" applyBorder="1" applyAlignment="1" applyProtection="1">
      <alignment horizontal="center" vertical="center"/>
      <protection/>
    </xf>
    <xf numFmtId="0" fontId="25" fillId="48" borderId="29" xfId="0" applyFont="1" applyFill="1" applyBorder="1" applyAlignment="1" applyProtection="1">
      <alignment horizontal="center" vertical="center"/>
      <protection/>
    </xf>
    <xf numFmtId="0" fontId="25" fillId="53" borderId="73" xfId="0" applyFont="1" applyFill="1" applyBorder="1" applyAlignment="1" applyProtection="1">
      <alignment horizontal="center" vertical="center"/>
      <protection/>
    </xf>
    <xf numFmtId="0" fontId="25" fillId="53" borderId="181" xfId="0" applyFont="1" applyFill="1" applyBorder="1" applyAlignment="1" applyProtection="1">
      <alignment horizontal="center" vertical="center"/>
      <protection/>
    </xf>
    <xf numFmtId="0" fontId="0" fillId="0" borderId="0" xfId="0" applyAlignment="1" applyProtection="1">
      <alignment horizontal="center" vertical="center" wrapText="1"/>
      <protection/>
    </xf>
    <xf numFmtId="0" fontId="25" fillId="0" borderId="0" xfId="0" applyFont="1" applyFill="1" applyAlignment="1" applyProtection="1">
      <alignment horizontal="center" wrapText="1"/>
      <protection/>
    </xf>
    <xf numFmtId="1" fontId="33" fillId="66" borderId="13" xfId="0" applyNumberFormat="1" applyFont="1" applyFill="1" applyBorder="1" applyAlignment="1" applyProtection="1">
      <alignment horizontal="center" vertical="center"/>
      <protection locked="0"/>
    </xf>
    <xf numFmtId="1" fontId="33" fillId="66" borderId="14" xfId="0" applyNumberFormat="1" applyFont="1" applyFill="1" applyBorder="1" applyAlignment="1" applyProtection="1">
      <alignment horizontal="center" vertical="center"/>
      <protection locked="0"/>
    </xf>
    <xf numFmtId="1" fontId="33" fillId="66" borderId="81" xfId="0" applyNumberFormat="1" applyFont="1" applyFill="1" applyBorder="1" applyAlignment="1" applyProtection="1">
      <alignment horizontal="center" vertical="center"/>
      <protection locked="0"/>
    </xf>
    <xf numFmtId="1" fontId="16" fillId="50" borderId="154" xfId="0" applyNumberFormat="1" applyFont="1" applyFill="1" applyBorder="1" applyAlignment="1" applyProtection="1">
      <alignment horizontal="center" vertical="center"/>
      <protection hidden="1"/>
    </xf>
    <xf numFmtId="1" fontId="16" fillId="50" borderId="82" xfId="0" applyNumberFormat="1" applyFont="1" applyFill="1" applyBorder="1" applyAlignment="1" applyProtection="1">
      <alignment horizontal="center" vertical="center"/>
      <protection hidden="1"/>
    </xf>
    <xf numFmtId="0" fontId="0" fillId="0" borderId="0" xfId="0" applyFill="1" applyBorder="1" applyAlignment="1" applyProtection="1">
      <alignment wrapText="1"/>
      <protection/>
    </xf>
    <xf numFmtId="0" fontId="0" fillId="64" borderId="0" xfId="0" applyFill="1" applyAlignment="1" applyProtection="1">
      <alignment horizontal="center" wrapText="1"/>
      <protection/>
    </xf>
    <xf numFmtId="0" fontId="59" fillId="0" borderId="0" xfId="0" applyFont="1" applyBorder="1" applyAlignment="1" applyProtection="1">
      <alignment horizontal="center" vertical="center"/>
      <protection hidden="1"/>
    </xf>
    <xf numFmtId="0" fontId="57" fillId="0" borderId="0" xfId="0" applyFont="1" applyBorder="1" applyAlignment="1" applyProtection="1">
      <alignment horizontal="center" wrapText="1" shrinkToFit="1"/>
      <protection hidden="1"/>
    </xf>
    <xf numFmtId="0" fontId="44" fillId="0" borderId="52" xfId="0" applyFont="1" applyBorder="1" applyAlignment="1">
      <alignment vertical="center"/>
    </xf>
    <xf numFmtId="1" fontId="56" fillId="0" borderId="10" xfId="0" applyNumberFormat="1" applyFont="1" applyBorder="1" applyAlignment="1" applyProtection="1">
      <alignment horizontal="center" vertical="center"/>
      <protection hidden="1"/>
    </xf>
    <xf numFmtId="0" fontId="26" fillId="0" borderId="255" xfId="0" applyFont="1" applyBorder="1" applyAlignment="1">
      <alignment horizontal="center" vertical="center" wrapText="1"/>
    </xf>
    <xf numFmtId="0" fontId="26" fillId="0" borderId="115" xfId="0" applyFont="1" applyBorder="1" applyAlignment="1">
      <alignment horizontal="center" vertical="center" wrapText="1"/>
    </xf>
    <xf numFmtId="1" fontId="56" fillId="0" borderId="32" xfId="0" applyNumberFormat="1" applyFont="1" applyBorder="1" applyAlignment="1" applyProtection="1">
      <alignment horizontal="center" vertical="center"/>
      <protection hidden="1"/>
    </xf>
    <xf numFmtId="0" fontId="25" fillId="0" borderId="255" xfId="0" applyFont="1" applyBorder="1" applyAlignment="1">
      <alignment horizontal="center" vertical="center" wrapText="1"/>
    </xf>
    <xf numFmtId="0" fontId="25" fillId="0" borderId="256" xfId="0" applyFont="1" applyBorder="1" applyAlignment="1">
      <alignment horizontal="center" vertical="center" wrapText="1"/>
    </xf>
    <xf numFmtId="0" fontId="25" fillId="0" borderId="257" xfId="0" applyFont="1" applyBorder="1" applyAlignment="1">
      <alignment horizontal="center" vertical="center" wrapText="1"/>
    </xf>
    <xf numFmtId="0" fontId="0" fillId="0" borderId="258" xfId="0" applyBorder="1" applyAlignment="1">
      <alignment horizontal="center" vertical="center"/>
    </xf>
    <xf numFmtId="0" fontId="0" fillId="0" borderId="259" xfId="0" applyBorder="1" applyAlignment="1">
      <alignment horizontal="center" vertical="center"/>
    </xf>
    <xf numFmtId="0" fontId="0" fillId="0" borderId="260" xfId="0" applyBorder="1" applyAlignment="1">
      <alignment horizontal="center" vertical="center"/>
    </xf>
    <xf numFmtId="0" fontId="22" fillId="0" borderId="10" xfId="0" applyFont="1" applyBorder="1" applyAlignment="1" applyProtection="1">
      <alignment horizontal="center" vertical="top" wrapText="1"/>
      <protection hidden="1"/>
    </xf>
    <xf numFmtId="0" fontId="16" fillId="42" borderId="261" xfId="0" applyFont="1" applyFill="1" applyBorder="1" applyAlignment="1">
      <alignment horizontal="center" vertical="center"/>
    </xf>
    <xf numFmtId="0" fontId="16" fillId="42" borderId="48" xfId="0" applyFont="1" applyFill="1" applyBorder="1" applyAlignment="1">
      <alignment horizontal="center" vertical="center"/>
    </xf>
    <xf numFmtId="0" fontId="17" fillId="0" borderId="0" xfId="0" applyFont="1" applyBorder="1" applyAlignment="1" applyProtection="1">
      <alignment horizontal="center" vertical="center" wrapText="1"/>
      <protection hidden="1"/>
    </xf>
    <xf numFmtId="0" fontId="62" fillId="44" borderId="261" xfId="0" applyFont="1" applyFill="1" applyBorder="1" applyAlignment="1">
      <alignment horizontal="center" vertical="center" textRotation="90"/>
    </xf>
    <xf numFmtId="0" fontId="64" fillId="0" borderId="262" xfId="0" applyFont="1" applyBorder="1" applyAlignment="1" applyProtection="1">
      <alignment horizontal="center" vertical="center"/>
      <protection hidden="1"/>
    </xf>
    <xf numFmtId="0" fontId="22" fillId="0" borderId="10" xfId="0" applyFont="1" applyBorder="1" applyAlignment="1" applyProtection="1">
      <alignment vertical="top" wrapText="1"/>
      <protection hidden="1"/>
    </xf>
    <xf numFmtId="0" fontId="45" fillId="0" borderId="0" xfId="0" applyFont="1" applyBorder="1" applyAlignment="1">
      <alignment horizontal="center"/>
    </xf>
    <xf numFmtId="0" fontId="61" fillId="43" borderId="261" xfId="0" applyFont="1" applyFill="1" applyBorder="1" applyAlignment="1">
      <alignment horizontal="center"/>
    </xf>
    <xf numFmtId="0" fontId="25" fillId="0" borderId="11" xfId="0" applyFont="1" applyBorder="1" applyAlignment="1">
      <alignment horizontal="center"/>
    </xf>
    <xf numFmtId="0" fontId="0" fillId="0" borderId="263" xfId="0" applyBorder="1" applyAlignment="1">
      <alignment horizontal="center"/>
    </xf>
    <xf numFmtId="0" fontId="0" fillId="0" borderId="264" xfId="0" applyBorder="1" applyAlignment="1">
      <alignment horizontal="center"/>
    </xf>
    <xf numFmtId="0" fontId="0" fillId="0" borderId="265" xfId="0" applyBorder="1" applyAlignment="1">
      <alignment horizontal="center"/>
    </xf>
    <xf numFmtId="0" fontId="0" fillId="0" borderId="266" xfId="0" applyBorder="1" applyAlignment="1">
      <alignment horizontal="center"/>
    </xf>
    <xf numFmtId="0" fontId="61" fillId="59" borderId="261" xfId="0" applyFont="1" applyFill="1" applyBorder="1" applyAlignment="1">
      <alignment horizontal="center"/>
    </xf>
    <xf numFmtId="0" fontId="65" fillId="0" borderId="10" xfId="0" applyFont="1" applyBorder="1" applyAlignment="1" applyProtection="1">
      <alignment horizontal="center" vertical="top" wrapText="1"/>
      <protection hidden="1"/>
    </xf>
    <xf numFmtId="0" fontId="44" fillId="34" borderId="252" xfId="0" applyFont="1" applyFill="1" applyBorder="1" applyAlignment="1">
      <alignment horizontal="center" vertical="center"/>
    </xf>
    <xf numFmtId="0" fontId="44" fillId="34" borderId="235" xfId="0" applyFont="1" applyFill="1" applyBorder="1" applyAlignment="1">
      <alignment horizontal="center"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98">
    <dxf>
      <fill>
        <patternFill patternType="solid">
          <fgColor indexed="22"/>
          <bgColor indexed="46"/>
        </patternFill>
      </fill>
    </dxf>
    <dxf>
      <fill>
        <patternFill patternType="solid">
          <fgColor indexed="46"/>
          <bgColor indexed="29"/>
        </patternFill>
      </fill>
    </dxf>
    <dxf>
      <fill>
        <patternFill patternType="solid">
          <fgColor indexed="51"/>
          <bgColor indexed="13"/>
        </patternFill>
      </fill>
    </dxf>
    <dxf>
      <fill>
        <patternFill patternType="solid">
          <fgColor indexed="46"/>
          <bgColor indexed="29"/>
        </patternFill>
      </fill>
    </dxf>
    <dxf>
      <fill>
        <patternFill patternType="solid">
          <fgColor indexed="22"/>
          <bgColor indexed="46"/>
        </patternFill>
      </fill>
    </dxf>
    <dxf>
      <fill>
        <patternFill patternType="solid">
          <fgColor indexed="46"/>
          <bgColor indexed="29"/>
        </patternFill>
      </fill>
    </dxf>
    <dxf>
      <fill>
        <patternFill patternType="solid">
          <fgColor indexed="22"/>
          <bgColor indexed="46"/>
        </patternFill>
      </fill>
    </dxf>
    <dxf>
      <fill>
        <patternFill patternType="solid">
          <fgColor indexed="46"/>
          <bgColor indexed="29"/>
        </patternFill>
      </fill>
    </dxf>
    <dxf>
      <fill>
        <patternFill patternType="solid">
          <fgColor indexed="34"/>
          <bgColor indexed="13"/>
        </patternFill>
      </fill>
    </dxf>
    <dxf>
      <fill>
        <patternFill patternType="solid">
          <fgColor indexed="46"/>
          <bgColor indexed="29"/>
        </patternFill>
      </fill>
    </dxf>
    <dxf>
      <fill>
        <patternFill patternType="solid">
          <fgColor indexed="22"/>
          <bgColor indexed="46"/>
        </patternFill>
      </fill>
    </dxf>
    <dxf>
      <fill>
        <patternFill patternType="solid">
          <fgColor indexed="46"/>
          <bgColor indexed="29"/>
        </patternFill>
      </fill>
    </dxf>
    <dxf>
      <fill>
        <patternFill>
          <bgColor rgb="FFFF7C80"/>
        </patternFill>
      </fill>
    </dxf>
    <dxf>
      <font>
        <u val="single"/>
        <strike val="0"/>
      </font>
      <fill>
        <patternFill patternType="solid">
          <bgColor indexed="22"/>
        </patternFill>
      </fill>
    </dxf>
    <dxf>
      <font>
        <u val="single"/>
        <strike val="0"/>
      </font>
      <fill>
        <patternFill>
          <bgColor rgb="FFFF7C80"/>
        </patternFill>
      </fill>
    </dxf>
    <dxf>
      <fill>
        <patternFill>
          <bgColor rgb="FFFF7C80"/>
        </patternFill>
      </fill>
    </dxf>
    <dxf>
      <font>
        <u val="single"/>
        <strike val="0"/>
      </font>
      <fill>
        <patternFill patternType="solid">
          <bgColor indexed="22"/>
        </patternFill>
      </fill>
    </dxf>
    <dxf>
      <font>
        <u val="single"/>
        <strike val="0"/>
      </font>
      <fill>
        <patternFill>
          <bgColor rgb="FFFF7C80"/>
        </patternFill>
      </fill>
    </dxf>
    <dxf>
      <fill>
        <patternFill>
          <bgColor rgb="FFFF7C80"/>
        </patternFill>
      </fill>
    </dxf>
    <dxf>
      <font>
        <u val="single"/>
        <strike val="0"/>
      </font>
      <fill>
        <patternFill patternType="solid">
          <bgColor indexed="22"/>
        </patternFill>
      </fill>
    </dxf>
    <dxf>
      <font>
        <u val="single"/>
        <strike val="0"/>
      </font>
      <fill>
        <patternFill>
          <bgColor rgb="FFFF7C80"/>
        </patternFill>
      </fill>
    </dxf>
    <dxf>
      <fill>
        <patternFill>
          <bgColor rgb="FFFF7C80"/>
        </patternFill>
      </fill>
    </dxf>
    <dxf>
      <font>
        <u val="single"/>
        <strike val="0"/>
      </font>
      <fill>
        <patternFill patternType="solid">
          <bgColor indexed="22"/>
        </patternFill>
      </fill>
    </dxf>
    <dxf>
      <font>
        <u val="single"/>
        <strike val="0"/>
      </font>
      <fill>
        <patternFill>
          <bgColor rgb="FFFF7C80"/>
        </patternFill>
      </fill>
    </dxf>
    <dxf>
      <fill>
        <patternFill patternType="solid">
          <fgColor indexed="65"/>
          <bgColor indexed="42"/>
        </patternFill>
      </fill>
    </dxf>
    <dxf>
      <fill>
        <patternFill>
          <bgColor indexed="50"/>
        </patternFill>
      </fill>
    </dxf>
    <dxf>
      <fill>
        <patternFill>
          <bgColor rgb="FFFF7C80"/>
        </patternFill>
      </fill>
    </dxf>
    <dxf>
      <fill>
        <patternFill>
          <bgColor rgb="FFFF8080"/>
        </patternFill>
      </fill>
    </dxf>
    <dxf>
      <fill>
        <patternFill>
          <bgColor rgb="FFFF3300"/>
        </patternFill>
      </fill>
    </dxf>
    <dxf>
      <fill>
        <patternFill>
          <bgColor rgb="FFFF8080"/>
        </patternFill>
      </fill>
    </dxf>
    <dxf>
      <fill>
        <patternFill>
          <bgColor rgb="FFFF8080"/>
        </patternFill>
      </fill>
    </dxf>
    <dxf>
      <fill>
        <patternFill>
          <bgColor rgb="FFA5E5A5"/>
        </patternFill>
      </fill>
    </dxf>
    <dxf>
      <fill>
        <patternFill>
          <bgColor rgb="FFFF8080"/>
        </patternFill>
      </fill>
    </dxf>
    <dxf>
      <fill>
        <patternFill>
          <bgColor rgb="FFA5E5A5"/>
        </patternFill>
      </fill>
    </dxf>
    <dxf>
      <fill>
        <patternFill>
          <bgColor rgb="FFFF8080"/>
        </patternFill>
      </fill>
    </dxf>
    <dxf>
      <fill>
        <patternFill>
          <bgColor rgb="FFFF7C80"/>
        </patternFill>
      </fill>
    </dxf>
    <dxf>
      <font>
        <u val="single"/>
        <strike val="0"/>
      </font>
      <fill>
        <patternFill patternType="solid">
          <bgColor indexed="22"/>
        </patternFill>
      </fill>
    </dxf>
    <dxf>
      <font>
        <u val="single"/>
        <strike val="0"/>
      </font>
      <fill>
        <patternFill>
          <bgColor rgb="FFFF7C80"/>
        </patternFill>
      </fill>
    </dxf>
    <dxf>
      <fill>
        <patternFill>
          <bgColor rgb="FFFF7C80"/>
        </patternFill>
      </fill>
    </dxf>
    <dxf>
      <font>
        <u val="single"/>
        <strike val="0"/>
      </font>
      <fill>
        <patternFill patternType="solid">
          <bgColor indexed="22"/>
        </patternFill>
      </fill>
    </dxf>
    <dxf>
      <font>
        <u val="single"/>
        <strike val="0"/>
      </font>
      <fill>
        <patternFill>
          <bgColor rgb="FFFF7C80"/>
        </patternFill>
      </fill>
    </dxf>
    <dxf>
      <fill>
        <patternFill>
          <bgColor rgb="FFFF7C80"/>
        </patternFill>
      </fill>
    </dxf>
    <dxf>
      <font>
        <u val="single"/>
        <strike val="0"/>
      </font>
      <fill>
        <patternFill patternType="solid">
          <bgColor indexed="22"/>
        </patternFill>
      </fill>
    </dxf>
    <dxf>
      <font>
        <u val="single"/>
        <strike val="0"/>
      </font>
      <fill>
        <patternFill>
          <bgColor rgb="FFFF7C80"/>
        </patternFill>
      </fill>
    </dxf>
    <dxf>
      <fill>
        <patternFill>
          <bgColor rgb="FFFF7C80"/>
        </patternFill>
      </fill>
    </dxf>
    <dxf>
      <font>
        <u val="single"/>
        <strike val="0"/>
      </font>
      <fill>
        <patternFill patternType="solid">
          <bgColor indexed="22"/>
        </patternFill>
      </fill>
    </dxf>
    <dxf>
      <font>
        <u val="single"/>
        <strike val="0"/>
      </font>
      <fill>
        <patternFill>
          <bgColor rgb="FFFF7C80"/>
        </patternFill>
      </fill>
    </dxf>
    <dxf>
      <fill>
        <patternFill>
          <bgColor rgb="FFFF7C80"/>
        </patternFill>
      </fill>
    </dxf>
    <dxf>
      <font>
        <u val="single"/>
        <strike val="0"/>
      </font>
      <fill>
        <patternFill patternType="solid">
          <bgColor indexed="22"/>
        </patternFill>
      </fill>
    </dxf>
    <dxf>
      <font>
        <u val="single"/>
        <strike val="0"/>
      </font>
      <fill>
        <patternFill>
          <bgColor rgb="FFFF7C80"/>
        </patternFill>
      </fill>
    </dxf>
    <dxf>
      <fill>
        <patternFill>
          <bgColor rgb="FFFF7C80"/>
        </patternFill>
      </fill>
    </dxf>
    <dxf>
      <font>
        <u val="single"/>
        <strike val="0"/>
      </font>
      <fill>
        <patternFill patternType="solid">
          <bgColor indexed="22"/>
        </patternFill>
      </fill>
    </dxf>
    <dxf>
      <font>
        <u val="single"/>
        <strike val="0"/>
      </font>
      <fill>
        <patternFill>
          <bgColor rgb="FFFF7C80"/>
        </patternFill>
      </fill>
    </dxf>
    <dxf>
      <fill>
        <patternFill>
          <bgColor rgb="FFFF7C80"/>
        </patternFill>
      </fill>
    </dxf>
    <dxf>
      <font>
        <u val="single"/>
        <strike val="0"/>
      </font>
      <fill>
        <patternFill patternType="solid">
          <bgColor indexed="22"/>
        </patternFill>
      </fill>
    </dxf>
    <dxf>
      <font>
        <u val="single"/>
        <strike val="0"/>
      </font>
      <fill>
        <patternFill>
          <bgColor rgb="FFFF7C80"/>
        </patternFill>
      </fill>
    </dxf>
    <dxf>
      <fill>
        <patternFill>
          <bgColor rgb="FFFF7C80"/>
        </patternFill>
      </fill>
    </dxf>
    <dxf>
      <fill>
        <patternFill>
          <bgColor rgb="FFA5E5A5"/>
        </patternFill>
      </fill>
    </dxf>
    <dxf>
      <fill>
        <patternFill>
          <bgColor rgb="FFA5E5A5"/>
        </patternFill>
      </fill>
    </dxf>
    <dxf>
      <fill>
        <patternFill>
          <bgColor rgb="FFFF7C80"/>
        </patternFill>
      </fill>
    </dxf>
    <dxf>
      <fill>
        <patternFill>
          <bgColor rgb="FFA5E5A5"/>
        </patternFill>
      </fill>
    </dxf>
    <dxf>
      <fill>
        <patternFill>
          <bgColor rgb="FFFF7C80"/>
        </patternFill>
      </fill>
    </dxf>
    <dxf>
      <fill>
        <patternFill>
          <bgColor rgb="FFFF7C80"/>
        </patternFill>
      </fill>
    </dxf>
    <dxf>
      <font>
        <u val="none"/>
        <strike val="0"/>
      </font>
      <fill>
        <patternFill>
          <bgColor rgb="FFFF7C80"/>
        </patternFill>
      </fill>
    </dxf>
    <dxf>
      <font>
        <u val="single"/>
        <strike val="0"/>
      </font>
      <fill>
        <patternFill>
          <bgColor rgb="FFFF7C80"/>
        </patternFill>
      </fill>
    </dxf>
    <dxf>
      <font>
        <u val="single"/>
        <strike val="0"/>
      </font>
      <fill>
        <patternFill>
          <bgColor rgb="FFFF7C80"/>
        </patternFill>
      </fill>
    </dxf>
    <dxf>
      <fill>
        <patternFill>
          <bgColor rgb="FFFF7C80"/>
        </patternFill>
      </fill>
    </dxf>
    <dxf>
      <font>
        <u val="single"/>
        <strike val="0"/>
      </font>
      <fill>
        <patternFill patternType="solid">
          <bgColor indexed="22"/>
        </patternFill>
      </fill>
    </dxf>
    <dxf>
      <font>
        <u val="single"/>
        <strike val="0"/>
      </font>
      <fill>
        <patternFill>
          <bgColor rgb="FFFF7C80"/>
        </patternFill>
      </fill>
    </dxf>
    <dxf>
      <fill>
        <patternFill>
          <bgColor rgb="FFFF7C80"/>
        </patternFill>
      </fill>
    </dxf>
    <dxf>
      <font>
        <u val="single"/>
        <strike val="0"/>
      </font>
      <fill>
        <patternFill patternType="solid">
          <bgColor indexed="22"/>
        </patternFill>
      </fill>
    </dxf>
    <dxf>
      <font>
        <u val="single"/>
        <strike val="0"/>
      </font>
      <fill>
        <patternFill>
          <bgColor rgb="FFFF7C80"/>
        </patternFill>
      </fill>
    </dxf>
    <dxf>
      <fill>
        <patternFill>
          <bgColor rgb="FFFF7C80"/>
        </patternFill>
      </fill>
    </dxf>
    <dxf>
      <font>
        <u val="single"/>
        <strike val="0"/>
      </font>
      <fill>
        <patternFill patternType="solid">
          <bgColor indexed="22"/>
        </patternFill>
      </fill>
    </dxf>
    <dxf>
      <font>
        <u val="single"/>
        <strike val="0"/>
      </font>
      <fill>
        <patternFill>
          <bgColor rgb="FFFF7C80"/>
        </patternFill>
      </fill>
    </dxf>
    <dxf>
      <font>
        <b/>
        <i val="0"/>
        <color indexed="10"/>
      </font>
    </dxf>
    <dxf>
      <font>
        <b/>
        <i val="0"/>
        <color indexed="17"/>
      </font>
    </dxf>
    <dxf>
      <fill>
        <patternFill patternType="solid">
          <fgColor indexed="9"/>
          <bgColor indexed="14"/>
        </patternFill>
      </fill>
    </dxf>
    <dxf>
      <fill>
        <patternFill>
          <bgColor theme="0"/>
        </patternFill>
      </fill>
    </dxf>
    <dxf>
      <fill>
        <patternFill>
          <bgColor rgb="FFCCFFCC"/>
        </patternFill>
      </fill>
    </dxf>
    <dxf>
      <fill>
        <patternFill>
          <bgColor rgb="FFA5E5A5"/>
        </patternFill>
      </fill>
    </dxf>
    <dxf>
      <fill>
        <patternFill>
          <bgColor rgb="FFFF7C80"/>
        </patternFill>
      </fill>
    </dxf>
    <dxf>
      <fill>
        <patternFill>
          <bgColor rgb="FF009900"/>
        </patternFill>
      </fill>
    </dxf>
    <dxf>
      <fill>
        <patternFill>
          <bgColor rgb="FFFF3300"/>
        </patternFill>
      </fill>
    </dxf>
    <dxf>
      <fill>
        <patternFill patternType="none">
          <fgColor indexed="64"/>
          <bgColor indexed="65"/>
        </patternFill>
      </fill>
    </dxf>
    <dxf>
      <font>
        <b/>
        <i val="0"/>
        <color rgb="FFFF0000"/>
      </font>
    </dxf>
    <dxf>
      <font>
        <b/>
        <i val="0"/>
        <color rgb="FFFF0000"/>
      </font>
    </dxf>
    <dxf>
      <fill>
        <patternFill>
          <bgColor rgb="FFFF8080"/>
        </patternFill>
      </fill>
    </dxf>
    <dxf>
      <font>
        <b/>
        <i val="0"/>
        <color indexed="17"/>
      </font>
    </dxf>
    <dxf>
      <font>
        <b/>
        <i val="0"/>
        <color indexed="10"/>
      </font>
    </dxf>
    <dxf>
      <fill>
        <patternFill patternType="solid">
          <fgColor indexed="46"/>
          <bgColor rgb="FFFF5050"/>
        </patternFill>
      </fill>
    </dxf>
    <dxf>
      <font>
        <b val="0"/>
        <color indexed="9"/>
      </font>
    </dxf>
    <dxf>
      <fill>
        <patternFill>
          <bgColor rgb="FFFF5050"/>
        </patternFill>
      </fill>
    </dxf>
    <dxf>
      <font>
        <b/>
        <i val="0"/>
        <color indexed="10"/>
      </font>
    </dxf>
    <dxf>
      <fill>
        <patternFill>
          <bgColor indexed="14"/>
        </patternFill>
      </fill>
    </dxf>
    <dxf>
      <fill>
        <patternFill>
          <bgColor indexed="10"/>
        </patternFill>
      </fill>
    </dxf>
    <dxf>
      <fill>
        <patternFill>
          <bgColor rgb="FFA5E5A5"/>
        </patternFill>
      </fill>
    </dxf>
    <dxf>
      <fill>
        <patternFill>
          <bgColor rgb="FFFF7C8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AEAEA"/>
      <rgbColor rgb="00B4FFFF"/>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DCEFDC"/>
      <rgbColor rgb="00CCFFCC"/>
      <rgbColor rgb="00FFFF99"/>
      <rgbColor rgb="00A6CAF0"/>
      <rgbColor rgb="00C9EFC9"/>
      <rgbColor rgb="00CC9CCC"/>
      <rgbColor rgb="00CCE5CC"/>
      <rgbColor rgb="003366FF"/>
      <rgbColor rgb="0033CCCC"/>
      <rgbColor rgb="00A5E5A5"/>
      <rgbColor rgb="00FFCC00"/>
      <rgbColor rgb="00FF9900"/>
      <rgbColor rgb="00FF6600"/>
      <rgbColor rgb="00666699"/>
      <rgbColor rgb="00969696"/>
      <rgbColor rgb="00003366"/>
      <rgbColor rgb="00339933"/>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723900</xdr:colOff>
      <xdr:row>0</xdr:row>
      <xdr:rowOff>0</xdr:rowOff>
    </xdr:from>
    <xdr:to>
      <xdr:col>1</xdr:col>
      <xdr:colOff>1457325</xdr:colOff>
      <xdr:row>1</xdr:row>
      <xdr:rowOff>390525</xdr:rowOff>
    </xdr:to>
    <xdr:pic>
      <xdr:nvPicPr>
        <xdr:cNvPr id="1" name="Picture 2" descr="Schullogo2010_ohneRand"/>
        <xdr:cNvPicPr preferRelativeResize="1">
          <a:picLocks noChangeAspect="1"/>
        </xdr:cNvPicPr>
      </xdr:nvPicPr>
      <xdr:blipFill>
        <a:blip r:embed="rId1"/>
        <a:stretch>
          <a:fillRect/>
        </a:stretch>
      </xdr:blipFill>
      <xdr:spPr>
        <a:xfrm>
          <a:off x="809625" y="0"/>
          <a:ext cx="733425" cy="733425"/>
        </a:xfrm>
        <a:prstGeom prst="rect">
          <a:avLst/>
        </a:prstGeom>
        <a:solidFill>
          <a:srgbClr val="EAEAEA"/>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30</xdr:row>
      <xdr:rowOff>133350</xdr:rowOff>
    </xdr:from>
    <xdr:to>
      <xdr:col>6</xdr:col>
      <xdr:colOff>247650</xdr:colOff>
      <xdr:row>33</xdr:row>
      <xdr:rowOff>142875</xdr:rowOff>
    </xdr:to>
    <xdr:sp>
      <xdr:nvSpPr>
        <xdr:cNvPr id="1" name="AutoShape 1"/>
        <xdr:cNvSpPr>
          <a:spLocks/>
        </xdr:cNvSpPr>
      </xdr:nvSpPr>
      <xdr:spPr>
        <a:xfrm>
          <a:off x="523875" y="5324475"/>
          <a:ext cx="1866900" cy="523875"/>
        </a:xfrm>
        <a:prstGeom prst="wedgeEllipseCallout">
          <a:avLst>
            <a:gd name="adj1" fmla="val 141013"/>
            <a:gd name="adj2" fmla="val -58333"/>
          </a:avLst>
        </a:prstGeom>
        <a:solidFill>
          <a:srgbClr val="CCFFCC"/>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(2*schr + 1*mü) : 3 * 5 
</a:t>
          </a:r>
          <a:r>
            <a:rPr lang="en-US" cap="none" sz="1000" b="0" i="0" u="none" baseline="0">
              <a:solidFill>
                <a:srgbClr val="000000"/>
              </a:solidFill>
              <a:latin typeface="Arial"/>
              <a:ea typeface="Arial"/>
              <a:cs typeface="Arial"/>
            </a:rPr>
            <a:t>       ggf. runden!</a:t>
          </a:r>
        </a:p>
      </xdr:txBody>
    </xdr:sp>
    <xdr:clientData/>
  </xdr:twoCellAnchor>
  <xdr:twoCellAnchor>
    <xdr:from>
      <xdr:col>15</xdr:col>
      <xdr:colOff>171450</xdr:colOff>
      <xdr:row>25</xdr:row>
      <xdr:rowOff>0</xdr:rowOff>
    </xdr:from>
    <xdr:to>
      <xdr:col>19</xdr:col>
      <xdr:colOff>0</xdr:colOff>
      <xdr:row>27</xdr:row>
      <xdr:rowOff>47625</xdr:rowOff>
    </xdr:to>
    <xdr:sp>
      <xdr:nvSpPr>
        <xdr:cNvPr id="2" name="AutoShape 2"/>
        <xdr:cNvSpPr>
          <a:spLocks/>
        </xdr:cNvSpPr>
      </xdr:nvSpPr>
      <xdr:spPr>
        <a:xfrm>
          <a:off x="5743575" y="4429125"/>
          <a:ext cx="1352550" cy="371475"/>
        </a:xfrm>
        <a:prstGeom prst="borderCallout2">
          <a:avLst>
            <a:gd name="adj1" fmla="val -159861"/>
            <a:gd name="adj2" fmla="val 29486"/>
            <a:gd name="adj3" fmla="val -145069"/>
            <a:gd name="adj4" fmla="val -19231"/>
            <a:gd name="adj5" fmla="val -55634"/>
            <a:gd name="adj6" fmla="val -19231"/>
          </a:avLst>
        </a:prstGeom>
        <a:solidFill>
          <a:srgbClr val="FFFF99"/>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Eingabe der Punkte in einfacher Wertung</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31</xdr:row>
      <xdr:rowOff>66675</xdr:rowOff>
    </xdr:from>
    <xdr:to>
      <xdr:col>7</xdr:col>
      <xdr:colOff>95250</xdr:colOff>
      <xdr:row>34</xdr:row>
      <xdr:rowOff>104775</xdr:rowOff>
    </xdr:to>
    <xdr:sp>
      <xdr:nvSpPr>
        <xdr:cNvPr id="1" name="AutoShape 1"/>
        <xdr:cNvSpPr>
          <a:spLocks/>
        </xdr:cNvSpPr>
      </xdr:nvSpPr>
      <xdr:spPr>
        <a:xfrm>
          <a:off x="752475" y="5534025"/>
          <a:ext cx="1866900" cy="523875"/>
        </a:xfrm>
        <a:prstGeom prst="wedgeEllipseCallout">
          <a:avLst>
            <a:gd name="adj1" fmla="val 127550"/>
            <a:gd name="adj2" fmla="val -83333"/>
          </a:avLst>
        </a:prstGeom>
        <a:solidFill>
          <a:srgbClr val="CCFFCC"/>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(2*schr + 1*mü) : 3 * 4 
</a:t>
          </a:r>
          <a:r>
            <a:rPr lang="en-US" cap="none" sz="1000" b="0" i="0" u="none" baseline="0">
              <a:solidFill>
                <a:srgbClr val="000000"/>
              </a:solidFill>
              <a:latin typeface="Arial"/>
              <a:ea typeface="Arial"/>
              <a:cs typeface="Arial"/>
            </a:rPr>
            <a:t>       ggf. runden!</a:t>
          </a:r>
        </a:p>
      </xdr:txBody>
    </xdr:sp>
    <xdr:clientData/>
  </xdr:twoCellAnchor>
  <xdr:twoCellAnchor>
    <xdr:from>
      <xdr:col>15</xdr:col>
      <xdr:colOff>171450</xdr:colOff>
      <xdr:row>25</xdr:row>
      <xdr:rowOff>0</xdr:rowOff>
    </xdr:from>
    <xdr:to>
      <xdr:col>19</xdr:col>
      <xdr:colOff>0</xdr:colOff>
      <xdr:row>27</xdr:row>
      <xdr:rowOff>47625</xdr:rowOff>
    </xdr:to>
    <xdr:sp>
      <xdr:nvSpPr>
        <xdr:cNvPr id="2" name="AutoShape 2"/>
        <xdr:cNvSpPr>
          <a:spLocks/>
        </xdr:cNvSpPr>
      </xdr:nvSpPr>
      <xdr:spPr>
        <a:xfrm>
          <a:off x="5743575" y="4514850"/>
          <a:ext cx="1352550" cy="371475"/>
        </a:xfrm>
        <a:prstGeom prst="borderCallout2">
          <a:avLst>
            <a:gd name="adj1" fmla="val -159861"/>
            <a:gd name="adj2" fmla="val 29486"/>
            <a:gd name="adj3" fmla="val -145069"/>
            <a:gd name="adj4" fmla="val -19231"/>
            <a:gd name="adj5" fmla="val -55634"/>
            <a:gd name="adj6" fmla="val -19231"/>
          </a:avLst>
        </a:prstGeom>
        <a:solidFill>
          <a:srgbClr val="FFFF99"/>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Eingabe der Punkte in einfacher Wertung</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weltersf\Downloads\Leistungsuebersicht09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okumentation"/>
      <sheetName val="Fachwahlen_St11"/>
      <sheetName val="Fachwahlen_St12"/>
      <sheetName val="Zulassung"/>
      <sheetName val="Fehler"/>
      <sheetName val="Ges-Qualifikation"/>
      <sheetName val="Abiturprüfung"/>
      <sheetName val="Gesamt"/>
      <sheetName val="Schr+mü_Prfg"/>
      <sheetName val="Notenschnitt"/>
      <sheetName val="Fächer11"/>
      <sheetName val="Fächer12"/>
      <sheetName val="Schr+mü_Prfg_mit_BLL"/>
    </sheetNames>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ymga.de/" TargetMode="External" /><Relationship Id="rId2" Type="http://schemas.openxmlformats.org/officeDocument/2006/relationships/hyperlink" Target="mailto:projekt@gymga.de"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T29"/>
  <sheetViews>
    <sheetView showGridLines="0" showRowColHeaders="0" showZeros="0" zoomScale="90" zoomScaleNormal="90" zoomScalePageLayoutView="0" workbookViewId="0" topLeftCell="A1">
      <selection activeCell="B1" sqref="B1:F2"/>
    </sheetView>
  </sheetViews>
  <sheetFormatPr defaultColWidth="11.421875" defaultRowHeight="12.75"/>
  <cols>
    <col min="1" max="1" width="1.28515625" style="1" customWidth="1"/>
    <col min="2" max="2" width="30.7109375" style="1" customWidth="1"/>
    <col min="3" max="3" width="34.28125" style="1" customWidth="1"/>
    <col min="4" max="4" width="35.7109375" style="1" customWidth="1"/>
    <col min="5" max="5" width="20.28125" style="1" customWidth="1"/>
    <col min="6" max="6" width="14.28125" style="1" customWidth="1"/>
    <col min="7" max="7" width="11.7109375" style="1" customWidth="1"/>
    <col min="8" max="16384" width="11.421875" style="1" customWidth="1"/>
  </cols>
  <sheetData>
    <row r="1" spans="1:10" ht="27" customHeight="1">
      <c r="A1" s="2">
        <v>2</v>
      </c>
      <c r="B1" s="1244" t="s">
        <v>0</v>
      </c>
      <c r="C1" s="1244"/>
      <c r="D1" s="1244"/>
      <c r="E1" s="1244"/>
      <c r="F1" s="1244"/>
      <c r="G1" s="3"/>
      <c r="H1" s="4"/>
      <c r="I1" s="5"/>
      <c r="J1" s="5"/>
    </row>
    <row r="2" spans="2:20" ht="31.5" customHeight="1">
      <c r="B2" s="1244"/>
      <c r="C2" s="1244"/>
      <c r="D2" s="1244"/>
      <c r="E2" s="1244"/>
      <c r="F2" s="1244"/>
      <c r="G2" s="6" t="s">
        <v>1</v>
      </c>
      <c r="H2" s="7"/>
      <c r="I2" s="8"/>
      <c r="J2" s="8"/>
      <c r="K2" s="9"/>
      <c r="L2" s="9"/>
      <c r="M2" s="9"/>
      <c r="N2" s="9"/>
      <c r="O2" s="9"/>
      <c r="P2" s="9"/>
      <c r="Q2" s="9"/>
      <c r="R2" s="9"/>
      <c r="S2" s="9"/>
      <c r="T2" s="9"/>
    </row>
    <row r="3" spans="3:20" ht="13.5" customHeight="1">
      <c r="C3" s="10" t="s">
        <v>2</v>
      </c>
      <c r="D3" s="11" t="s">
        <v>3</v>
      </c>
      <c r="E3" s="8"/>
      <c r="F3" s="7"/>
      <c r="G3" s="7"/>
      <c r="H3" s="7"/>
      <c r="I3" s="8"/>
      <c r="J3" s="8"/>
      <c r="K3" s="9"/>
      <c r="L3" s="9"/>
      <c r="M3" s="9"/>
      <c r="N3" s="9"/>
      <c r="O3" s="9"/>
      <c r="P3" s="9"/>
      <c r="Q3" s="9"/>
      <c r="R3" s="9"/>
      <c r="S3" s="9"/>
      <c r="T3" s="9"/>
    </row>
    <row r="4" spans="3:20" ht="9.75" customHeight="1">
      <c r="C4" s="12"/>
      <c r="D4" s="315"/>
      <c r="E4" s="13"/>
      <c r="F4" s="14"/>
      <c r="G4" s="14"/>
      <c r="H4" s="15"/>
      <c r="I4" s="13"/>
      <c r="K4" s="9"/>
      <c r="L4" s="9"/>
      <c r="M4" s="9"/>
      <c r="N4" s="9"/>
      <c r="O4" s="9"/>
      <c r="P4" s="9"/>
      <c r="Q4" s="9"/>
      <c r="R4" s="9"/>
      <c r="S4" s="9"/>
      <c r="T4" s="9"/>
    </row>
    <row r="5" spans="1:8" ht="33.75" customHeight="1">
      <c r="A5" s="16"/>
      <c r="B5" s="1249" t="s">
        <v>295</v>
      </c>
      <c r="C5" s="1249"/>
      <c r="D5" s="1249"/>
      <c r="E5" s="1249"/>
      <c r="F5" s="1249"/>
      <c r="G5" s="1249"/>
      <c r="H5" s="15"/>
    </row>
    <row r="6" spans="2:8" ht="44.25" customHeight="1">
      <c r="B6" s="1249"/>
      <c r="C6" s="1249"/>
      <c r="D6" s="1249"/>
      <c r="E6" s="1249"/>
      <c r="F6" s="1249"/>
      <c r="G6" s="1249"/>
      <c r="H6" s="15"/>
    </row>
    <row r="7" spans="1:8" ht="15" customHeight="1">
      <c r="A7" s="16"/>
      <c r="B7" s="1248" t="s">
        <v>245</v>
      </c>
      <c r="C7" s="1248"/>
      <c r="D7" s="1248"/>
      <c r="E7" s="1248"/>
      <c r="F7" s="1248"/>
      <c r="G7" s="1248"/>
      <c r="H7" s="15"/>
    </row>
    <row r="8" spans="1:8" ht="15" customHeight="1">
      <c r="A8" s="16"/>
      <c r="B8" s="1248"/>
      <c r="C8" s="1248"/>
      <c r="D8" s="1248"/>
      <c r="E8" s="1248"/>
      <c r="F8" s="1248"/>
      <c r="G8" s="1248"/>
      <c r="H8" s="15"/>
    </row>
    <row r="9" spans="1:8" ht="7.5" customHeight="1">
      <c r="A9" s="2">
        <v>1</v>
      </c>
      <c r="B9" s="19"/>
      <c r="C9" s="19"/>
      <c r="F9" s="18"/>
      <c r="H9" s="15"/>
    </row>
    <row r="10" spans="1:8" ht="7.5" customHeight="1">
      <c r="A10" s="20"/>
      <c r="B10" s="17"/>
      <c r="C10" s="17"/>
      <c r="F10" s="18"/>
      <c r="H10" s="15"/>
    </row>
    <row r="11" spans="2:8" ht="20.25" customHeight="1">
      <c r="B11" s="21" t="s">
        <v>4</v>
      </c>
      <c r="C11" s="22"/>
      <c r="D11" s="23"/>
      <c r="E11" s="24"/>
      <c r="F11" s="25"/>
      <c r="G11" s="25" t="s">
        <v>5</v>
      </c>
      <c r="H11" s="15"/>
    </row>
    <row r="12" spans="1:8" ht="36" customHeight="1">
      <c r="A12" s="26"/>
      <c r="B12" s="27" t="s">
        <v>7</v>
      </c>
      <c r="C12" s="1245" t="s">
        <v>246</v>
      </c>
      <c r="D12" s="1245"/>
      <c r="E12" s="1245"/>
      <c r="F12" s="1245"/>
      <c r="G12" s="1245"/>
      <c r="H12" s="15"/>
    </row>
    <row r="13" spans="1:8" ht="12.75" customHeight="1" hidden="1">
      <c r="A13" s="16"/>
      <c r="B13" s="1247" t="s">
        <v>6</v>
      </c>
      <c r="C13" s="1246"/>
      <c r="D13" s="1246"/>
      <c r="E13" s="1246"/>
      <c r="F13" s="1246"/>
      <c r="G13" s="1246"/>
      <c r="H13" s="15"/>
    </row>
    <row r="14" spans="1:8" ht="36" customHeight="1">
      <c r="A14" s="16"/>
      <c r="B14" s="1247"/>
      <c r="C14" s="1246" t="s">
        <v>247</v>
      </c>
      <c r="D14" s="1246"/>
      <c r="E14" s="1246"/>
      <c r="F14" s="1246"/>
      <c r="G14" s="1246"/>
      <c r="H14" s="18"/>
    </row>
    <row r="15" spans="1:8" ht="36" customHeight="1">
      <c r="A15" s="16"/>
      <c r="B15" s="27" t="s">
        <v>8</v>
      </c>
      <c r="C15" s="1251" t="s">
        <v>9</v>
      </c>
      <c r="D15" s="1251"/>
      <c r="E15" s="1251"/>
      <c r="F15" s="1251"/>
      <c r="G15" s="1251"/>
      <c r="H15" s="18"/>
    </row>
    <row r="16" spans="1:8" ht="36" customHeight="1">
      <c r="A16" s="16"/>
      <c r="B16" s="487" t="s">
        <v>351</v>
      </c>
      <c r="C16" s="1246" t="s">
        <v>10</v>
      </c>
      <c r="D16" s="1246"/>
      <c r="E16" s="1246"/>
      <c r="F16" s="1246"/>
      <c r="G16" s="1246"/>
      <c r="H16" s="18"/>
    </row>
    <row r="17" spans="1:7" ht="36" customHeight="1">
      <c r="A17" s="16"/>
      <c r="B17" s="546" t="s">
        <v>350</v>
      </c>
      <c r="C17" s="1245" t="s">
        <v>349</v>
      </c>
      <c r="D17" s="1245"/>
      <c r="E17" s="1245"/>
      <c r="F17" s="1245"/>
      <c r="G17" s="1245"/>
    </row>
    <row r="18" spans="1:7" ht="36" customHeight="1">
      <c r="A18" s="16"/>
      <c r="B18" s="27" t="s">
        <v>11</v>
      </c>
      <c r="C18" s="1246" t="s">
        <v>12</v>
      </c>
      <c r="D18" s="1246"/>
      <c r="E18" s="1246"/>
      <c r="F18" s="1246"/>
      <c r="G18" s="1246"/>
    </row>
    <row r="19" spans="1:7" ht="11.25" customHeight="1">
      <c r="A19" s="16"/>
      <c r="C19" s="1245"/>
      <c r="D19" s="1245"/>
      <c r="E19" s="1245"/>
      <c r="F19" s="1245"/>
      <c r="G19" s="1245"/>
    </row>
    <row r="20" spans="1:3" ht="11.25" customHeight="1">
      <c r="A20" s="16"/>
      <c r="B20" s="19"/>
      <c r="C20" s="17"/>
    </row>
    <row r="21" spans="1:3" ht="14.25">
      <c r="A21" s="16"/>
      <c r="B21" s="17" t="s">
        <v>13</v>
      </c>
      <c r="C21" s="17"/>
    </row>
    <row r="22" spans="1:3" ht="12" customHeight="1">
      <c r="A22" s="16"/>
      <c r="B22" s="17"/>
      <c r="C22" s="17"/>
    </row>
    <row r="23" spans="1:3" ht="14.25">
      <c r="A23" s="16"/>
      <c r="B23" s="17" t="str">
        <f>IF(AND(DAY(A25)&lt;10,MONTH(A25)&lt;10),"Mönchengladbach, den 0"&amp;DAY(A25)&amp;".0"&amp;MONTH(A25)&amp;"."&amp;YEAR(A25),IF(DAY(A25)&lt;10,"Mönchengladbach, den 0"&amp;DAY(A25)&amp;"."&amp;MONTH(A25)&amp;"."&amp;YEAR(A25),IF(MONTH(A25)&lt;10,"Mönchengladbach, den "&amp;DAY(A25)&amp;".0"&amp;MONTH(A25)&amp;"."&amp;YEAR(A25),"Mönchengladbach, den "&amp;DAY(A25)&amp;"."&amp;MONTH(A25)&amp;"."&amp;YEAR(A25))))</f>
        <v>Mönchengladbach, den 22.01.2017</v>
      </c>
      <c r="C23" s="17"/>
    </row>
    <row r="24" spans="1:3" ht="7.5" customHeight="1">
      <c r="A24" s="16"/>
      <c r="B24" s="17"/>
      <c r="C24" s="17"/>
    </row>
    <row r="25" spans="1:6" ht="11.25" customHeight="1">
      <c r="A25" s="388">
        <v>42757</v>
      </c>
      <c r="B25" s="28" t="s">
        <v>14</v>
      </c>
      <c r="C25" s="28"/>
      <c r="D25" s="29" t="s">
        <v>15</v>
      </c>
      <c r="E25" s="29"/>
      <c r="F25" s="30" t="str">
        <f>"Version "&amp;RIGHT(B23,2)&amp;"."&amp;MID(B23,25,2)</f>
        <v>Version 17.01</v>
      </c>
    </row>
    <row r="26" spans="2:5" ht="12.75">
      <c r="B26" s="1250"/>
      <c r="C26" s="1250"/>
      <c r="D26" s="31"/>
      <c r="E26" s="31"/>
    </row>
    <row r="27" spans="3:5" ht="12.75">
      <c r="C27" s="32"/>
      <c r="D27" s="31"/>
      <c r="E27" s="31"/>
    </row>
    <row r="28" spans="2:3" ht="12.75">
      <c r="B28" s="1250"/>
      <c r="C28" s="1250"/>
    </row>
    <row r="29" ht="12.75">
      <c r="C29" s="32"/>
    </row>
  </sheetData>
  <sheetProtection password="81D9" sheet="1"/>
  <mergeCells count="14">
    <mergeCell ref="B28:C28"/>
    <mergeCell ref="C15:G15"/>
    <mergeCell ref="C16:G16"/>
    <mergeCell ref="C17:G17"/>
    <mergeCell ref="B26:C26"/>
    <mergeCell ref="C18:G18"/>
    <mergeCell ref="C19:G19"/>
    <mergeCell ref="B1:F2"/>
    <mergeCell ref="C12:G12"/>
    <mergeCell ref="C13:G13"/>
    <mergeCell ref="C14:G14"/>
    <mergeCell ref="B13:B14"/>
    <mergeCell ref="B7:G8"/>
    <mergeCell ref="B5:G6"/>
  </mergeCells>
  <hyperlinks>
    <hyperlink ref="C3" r:id="rId1" display="www.gymga.de/"/>
    <hyperlink ref="D3" r:id="rId2" display="E-Mail: projekt@gymga.de"/>
    <hyperlink ref="B13" location="Zulassung!H8" display="Zulassung"/>
    <hyperlink ref="B12" location="'Ges-Qualifikation'!A1" display="Gesamtqualifikation"/>
    <hyperlink ref="B15" location="Abiturprüfung!A2" display="Abiturprüfung"/>
    <hyperlink ref="B16" location="'Schr+mü_Prfg'!A1" display="Mündl. Prüfung im 1.-3. Fach"/>
    <hyperlink ref="B18" location="Notenschnitt!B3" display="Abiturdurchschnitt"/>
    <hyperlink ref="B17" location="'Schr+mü_Prfg_mit_BLL'!A1" display="Mündl. Prüfung im 1.-3. Fach mit BLL"/>
  </hyperlinks>
  <printOptions/>
  <pageMargins left="0.7479166666666667" right="0.7479166666666667" top="0.9840277777777777" bottom="0.9840277777777777" header="0.5118055555555555" footer="0.5118055555555555"/>
  <pageSetup horizontalDpi="300" verticalDpi="300" orientation="landscape" paperSize="9" r:id="rId4"/>
  <drawing r:id="rId3"/>
</worksheet>
</file>

<file path=xl/worksheets/sheet10.xml><?xml version="1.0" encoding="utf-8"?>
<worksheet xmlns="http://schemas.openxmlformats.org/spreadsheetml/2006/main" xmlns:r="http://schemas.openxmlformats.org/officeDocument/2006/relationships">
  <dimension ref="B1:P36"/>
  <sheetViews>
    <sheetView showGridLines="0" showRowColHeaders="0" showZeros="0" zoomScale="110" zoomScaleNormal="110" zoomScalePageLayoutView="0" workbookViewId="0" topLeftCell="A1">
      <selection activeCell="B2" sqref="B2:N2"/>
    </sheetView>
  </sheetViews>
  <sheetFormatPr defaultColWidth="11.421875" defaultRowHeight="12.75"/>
  <cols>
    <col min="2" max="2" width="8.7109375" style="0" customWidth="1"/>
    <col min="3" max="3" width="4.7109375" style="0" customWidth="1"/>
    <col min="4" max="5" width="8.7109375" style="0" customWidth="1"/>
    <col min="6" max="6" width="4.7109375" style="0" customWidth="1"/>
    <col min="7" max="7" width="8.7109375" style="0" customWidth="1"/>
    <col min="8" max="8" width="4.7109375" style="0" customWidth="1"/>
    <col min="9" max="10" width="8.7109375" style="0" customWidth="1"/>
    <col min="11" max="11" width="4.7109375" style="0" customWidth="1"/>
    <col min="12" max="12" width="8.7109375" style="0" customWidth="1"/>
    <col min="13" max="13" width="4.7109375" style="0" customWidth="1"/>
    <col min="14" max="15" width="8.7109375" style="0" customWidth="1"/>
    <col min="16" max="16" width="4.8515625" style="0" customWidth="1"/>
  </cols>
  <sheetData>
    <row r="1" spans="2:15" ht="14.25" customHeight="1">
      <c r="B1" s="48"/>
      <c r="C1" s="48"/>
      <c r="D1" s="48"/>
      <c r="E1" s="48"/>
      <c r="F1" s="48"/>
      <c r="G1" s="48"/>
      <c r="H1" s="48"/>
      <c r="I1" s="48"/>
      <c r="J1" s="48"/>
      <c r="K1" s="48"/>
      <c r="L1" s="48"/>
      <c r="M1" s="48"/>
      <c r="N1" s="48"/>
      <c r="O1" s="48"/>
    </row>
    <row r="2" spans="2:15" ht="28.5" customHeight="1">
      <c r="B2" s="1588" t="str">
        <f>Dokumentation!B1</f>
        <v>Gymnasium an der Gartenstraße</v>
      </c>
      <c r="C2" s="1588"/>
      <c r="D2" s="1588"/>
      <c r="E2" s="1588"/>
      <c r="F2" s="1588"/>
      <c r="G2" s="1588"/>
      <c r="H2" s="1588"/>
      <c r="I2" s="1588"/>
      <c r="J2" s="1588"/>
      <c r="K2" s="1588"/>
      <c r="L2" s="1588"/>
      <c r="M2" s="1588"/>
      <c r="N2" s="1588"/>
      <c r="O2" s="138" t="s">
        <v>1</v>
      </c>
    </row>
    <row r="3" spans="2:15" ht="33.75" customHeight="1">
      <c r="B3" s="1580" t="s">
        <v>160</v>
      </c>
      <c r="C3" s="1580"/>
      <c r="D3" s="1580"/>
      <c r="E3" s="1580"/>
      <c r="F3" s="1580"/>
      <c r="G3" s="1580"/>
      <c r="H3" s="1580"/>
      <c r="I3" s="1580"/>
      <c r="J3" s="1580"/>
      <c r="K3" s="1580"/>
      <c r="L3" s="1580"/>
      <c r="M3" s="1580"/>
      <c r="N3" s="1580"/>
      <c r="O3" s="1580"/>
    </row>
    <row r="4" ht="18" customHeight="1"/>
    <row r="5" spans="2:15" ht="18" customHeight="1">
      <c r="B5" s="1589" t="s">
        <v>161</v>
      </c>
      <c r="C5" s="1589"/>
      <c r="D5" s="1589"/>
      <c r="E5" s="219" t="s">
        <v>162</v>
      </c>
      <c r="F5" s="137"/>
      <c r="G5" s="1589" t="s">
        <v>161</v>
      </c>
      <c r="H5" s="1589"/>
      <c r="I5" s="1589"/>
      <c r="J5" s="219" t="s">
        <v>162</v>
      </c>
      <c r="K5" s="137"/>
      <c r="L5" s="1590" t="s">
        <v>161</v>
      </c>
      <c r="M5" s="1590"/>
      <c r="N5" s="1590"/>
      <c r="O5" s="220" t="s">
        <v>162</v>
      </c>
    </row>
    <row r="6" spans="2:15" ht="18" customHeight="1">
      <c r="B6" s="221">
        <v>300</v>
      </c>
      <c r="C6" s="222"/>
      <c r="D6" s="223"/>
      <c r="E6" s="224">
        <f aca="true" t="shared" si="0" ref="E6:E14">ROUNDDOWN(17/3-B6/180,1)</f>
        <v>4</v>
      </c>
      <c r="G6" s="225"/>
      <c r="H6" s="226"/>
      <c r="I6" s="226"/>
      <c r="J6" s="227"/>
      <c r="L6" s="225"/>
      <c r="M6" s="226"/>
      <c r="N6" s="226"/>
      <c r="O6" s="227"/>
    </row>
    <row r="7" spans="2:15" ht="18" customHeight="1">
      <c r="B7" s="228">
        <v>301</v>
      </c>
      <c r="C7" s="229" t="s">
        <v>163</v>
      </c>
      <c r="D7" s="230">
        <f aca="true" t="shared" si="1" ref="D7:D15">B8-1</f>
        <v>318</v>
      </c>
      <c r="E7" s="224">
        <f t="shared" si="0"/>
        <v>3.9</v>
      </c>
      <c r="G7" s="228">
        <v>481</v>
      </c>
      <c r="H7" s="229" t="s">
        <v>163</v>
      </c>
      <c r="I7" s="230">
        <f aca="true" t="shared" si="2" ref="I7:I15">G8-1</f>
        <v>498</v>
      </c>
      <c r="J7" s="231">
        <f aca="true" t="shared" si="3" ref="J7:J14">ROUNDDOWN(17/3-G7/180,1)</f>
        <v>2.9</v>
      </c>
      <c r="L7" s="228">
        <v>661</v>
      </c>
      <c r="M7" s="229" t="s">
        <v>163</v>
      </c>
      <c r="N7" s="230">
        <f aca="true" t="shared" si="4" ref="N7:N15">L8-1</f>
        <v>678</v>
      </c>
      <c r="O7" s="224">
        <f aca="true" t="shared" si="5" ref="O7:O14">ROUNDDOWN(17/3-L7/180,1)</f>
        <v>1.9</v>
      </c>
    </row>
    <row r="8" spans="2:15" ht="18" customHeight="1">
      <c r="B8" s="228">
        <v>319</v>
      </c>
      <c r="C8" s="229" t="s">
        <v>163</v>
      </c>
      <c r="D8" s="230">
        <f t="shared" si="1"/>
        <v>336</v>
      </c>
      <c r="E8" s="224">
        <f t="shared" si="0"/>
        <v>3.8</v>
      </c>
      <c r="G8" s="228">
        <v>499</v>
      </c>
      <c r="H8" s="229" t="s">
        <v>163</v>
      </c>
      <c r="I8" s="230">
        <f t="shared" si="2"/>
        <v>516</v>
      </c>
      <c r="J8" s="231">
        <f t="shared" si="3"/>
        <v>2.8</v>
      </c>
      <c r="L8" s="228">
        <v>679</v>
      </c>
      <c r="M8" s="229" t="s">
        <v>163</v>
      </c>
      <c r="N8" s="230">
        <f t="shared" si="4"/>
        <v>696</v>
      </c>
      <c r="O8" s="224">
        <f t="shared" si="5"/>
        <v>1.8</v>
      </c>
    </row>
    <row r="9" spans="2:16" ht="18" customHeight="1">
      <c r="B9" s="228">
        <v>337</v>
      </c>
      <c r="C9" s="229" t="s">
        <v>163</v>
      </c>
      <c r="D9" s="230">
        <f t="shared" si="1"/>
        <v>354</v>
      </c>
      <c r="E9" s="224">
        <f t="shared" si="0"/>
        <v>3.7</v>
      </c>
      <c r="G9" s="228">
        <v>517</v>
      </c>
      <c r="H9" s="229" t="s">
        <v>163</v>
      </c>
      <c r="I9" s="230">
        <f t="shared" si="2"/>
        <v>534</v>
      </c>
      <c r="J9" s="231">
        <f t="shared" si="3"/>
        <v>2.7</v>
      </c>
      <c r="L9" s="228">
        <v>697</v>
      </c>
      <c r="M9" s="229" t="s">
        <v>163</v>
      </c>
      <c r="N9" s="230">
        <f t="shared" si="4"/>
        <v>714</v>
      </c>
      <c r="O9" s="224">
        <f t="shared" si="5"/>
        <v>1.7</v>
      </c>
      <c r="P9" s="107"/>
    </row>
    <row r="10" spans="2:15" ht="18" customHeight="1">
      <c r="B10" s="228">
        <v>355</v>
      </c>
      <c r="C10" s="229" t="s">
        <v>163</v>
      </c>
      <c r="D10" s="230">
        <f t="shared" si="1"/>
        <v>372</v>
      </c>
      <c r="E10" s="224">
        <f t="shared" si="0"/>
        <v>3.6</v>
      </c>
      <c r="G10" s="228">
        <v>535</v>
      </c>
      <c r="H10" s="229" t="s">
        <v>163</v>
      </c>
      <c r="I10" s="230">
        <f t="shared" si="2"/>
        <v>552</v>
      </c>
      <c r="J10" s="231">
        <f t="shared" si="3"/>
        <v>2.6</v>
      </c>
      <c r="L10" s="228">
        <v>715</v>
      </c>
      <c r="M10" s="229" t="s">
        <v>163</v>
      </c>
      <c r="N10" s="230">
        <f t="shared" si="4"/>
        <v>732</v>
      </c>
      <c r="O10" s="224">
        <f t="shared" si="5"/>
        <v>1.6</v>
      </c>
    </row>
    <row r="11" spans="2:15" ht="18" customHeight="1">
      <c r="B11" s="228">
        <v>373</v>
      </c>
      <c r="C11" s="229" t="s">
        <v>163</v>
      </c>
      <c r="D11" s="230">
        <f t="shared" si="1"/>
        <v>390</v>
      </c>
      <c r="E11" s="224">
        <f t="shared" si="0"/>
        <v>3.5</v>
      </c>
      <c r="G11" s="228">
        <v>553</v>
      </c>
      <c r="H11" s="229" t="s">
        <v>163</v>
      </c>
      <c r="I11" s="230">
        <f t="shared" si="2"/>
        <v>570</v>
      </c>
      <c r="J11" s="231">
        <f t="shared" si="3"/>
        <v>2.5</v>
      </c>
      <c r="L11" s="228">
        <v>733</v>
      </c>
      <c r="M11" s="229" t="s">
        <v>163</v>
      </c>
      <c r="N11" s="230">
        <f t="shared" si="4"/>
        <v>750</v>
      </c>
      <c r="O11" s="224">
        <f t="shared" si="5"/>
        <v>1.5</v>
      </c>
    </row>
    <row r="12" spans="2:15" ht="18" customHeight="1">
      <c r="B12" s="228">
        <v>391</v>
      </c>
      <c r="C12" s="229" t="s">
        <v>163</v>
      </c>
      <c r="D12" s="230">
        <f t="shared" si="1"/>
        <v>408</v>
      </c>
      <c r="E12" s="224">
        <f t="shared" si="0"/>
        <v>3.4</v>
      </c>
      <c r="G12" s="228">
        <v>571</v>
      </c>
      <c r="H12" s="229" t="s">
        <v>163</v>
      </c>
      <c r="I12" s="230">
        <f t="shared" si="2"/>
        <v>588</v>
      </c>
      <c r="J12" s="231">
        <f t="shared" si="3"/>
        <v>2.4</v>
      </c>
      <c r="L12" s="228">
        <v>751</v>
      </c>
      <c r="M12" s="229" t="s">
        <v>163</v>
      </c>
      <c r="N12" s="230">
        <f t="shared" si="4"/>
        <v>768</v>
      </c>
      <c r="O12" s="224">
        <f t="shared" si="5"/>
        <v>1.4</v>
      </c>
    </row>
    <row r="13" spans="2:15" ht="18" customHeight="1">
      <c r="B13" s="228">
        <v>409</v>
      </c>
      <c r="C13" s="229" t="s">
        <v>163</v>
      </c>
      <c r="D13" s="230">
        <f t="shared" si="1"/>
        <v>426</v>
      </c>
      <c r="E13" s="224">
        <f t="shared" si="0"/>
        <v>3.3</v>
      </c>
      <c r="G13" s="228">
        <v>589</v>
      </c>
      <c r="H13" s="229" t="s">
        <v>163</v>
      </c>
      <c r="I13" s="230">
        <f t="shared" si="2"/>
        <v>606</v>
      </c>
      <c r="J13" s="231">
        <f t="shared" si="3"/>
        <v>2.3</v>
      </c>
      <c r="L13" s="228">
        <v>769</v>
      </c>
      <c r="M13" s="229" t="s">
        <v>163</v>
      </c>
      <c r="N13" s="230">
        <f t="shared" si="4"/>
        <v>786</v>
      </c>
      <c r="O13" s="224">
        <f t="shared" si="5"/>
        <v>1.3</v>
      </c>
    </row>
    <row r="14" spans="2:15" ht="18" customHeight="1">
      <c r="B14" s="228">
        <v>427</v>
      </c>
      <c r="C14" s="229" t="s">
        <v>163</v>
      </c>
      <c r="D14" s="230">
        <f t="shared" si="1"/>
        <v>444</v>
      </c>
      <c r="E14" s="224">
        <f t="shared" si="0"/>
        <v>3.2</v>
      </c>
      <c r="G14" s="228">
        <v>607</v>
      </c>
      <c r="H14" s="229" t="s">
        <v>163</v>
      </c>
      <c r="I14" s="230">
        <f t="shared" si="2"/>
        <v>624</v>
      </c>
      <c r="J14" s="231">
        <f t="shared" si="3"/>
        <v>2.2</v>
      </c>
      <c r="L14" s="228">
        <v>787</v>
      </c>
      <c r="M14" s="229" t="s">
        <v>163</v>
      </c>
      <c r="N14" s="230">
        <f t="shared" si="4"/>
        <v>804</v>
      </c>
      <c r="O14" s="224">
        <f t="shared" si="5"/>
        <v>1.2</v>
      </c>
    </row>
    <row r="15" spans="2:15" ht="18" customHeight="1">
      <c r="B15" s="228">
        <v>445</v>
      </c>
      <c r="C15" s="232" t="s">
        <v>163</v>
      </c>
      <c r="D15" s="230">
        <f t="shared" si="1"/>
        <v>462</v>
      </c>
      <c r="E15" s="224">
        <f>ROUNDDOWN(17/3-B15/180,1)</f>
        <v>3.1</v>
      </c>
      <c r="G15" s="233">
        <v>625</v>
      </c>
      <c r="H15" s="232" t="s">
        <v>163</v>
      </c>
      <c r="I15" s="234">
        <f t="shared" si="2"/>
        <v>642</v>
      </c>
      <c r="J15" s="231">
        <f>ROUNDDOWN(17/3-G15/180,1)</f>
        <v>2.1</v>
      </c>
      <c r="L15" s="228">
        <v>805</v>
      </c>
      <c r="M15" s="229" t="s">
        <v>163</v>
      </c>
      <c r="N15" s="230">
        <f t="shared" si="4"/>
        <v>822</v>
      </c>
      <c r="O15" s="224">
        <f>ROUNDDOWN(17/3-L15/180,1)</f>
        <v>1.1</v>
      </c>
    </row>
    <row r="16" spans="2:15" ht="18" customHeight="1" thickBot="1">
      <c r="B16" s="235">
        <v>463</v>
      </c>
      <c r="C16" s="236" t="s">
        <v>163</v>
      </c>
      <c r="D16" s="237">
        <f>G7-1</f>
        <v>480</v>
      </c>
      <c r="E16" s="238">
        <f>ROUNDDOWN(17/3-B16/180,1)</f>
        <v>3</v>
      </c>
      <c r="G16" s="235">
        <v>643</v>
      </c>
      <c r="H16" s="236" t="s">
        <v>163</v>
      </c>
      <c r="I16" s="237">
        <f>L7-1</f>
        <v>660</v>
      </c>
      <c r="J16" s="238">
        <f>ROUNDDOWN(17/3-G16/180,1)</f>
        <v>2</v>
      </c>
      <c r="L16" s="235">
        <v>823</v>
      </c>
      <c r="M16" s="236" t="s">
        <v>163</v>
      </c>
      <c r="N16" s="239">
        <v>900</v>
      </c>
      <c r="O16" s="238">
        <f>ROUNDDOWN(17/3-L16/180,1)</f>
        <v>1</v>
      </c>
    </row>
    <row r="17" spans="2:15" ht="18" customHeight="1" hidden="1">
      <c r="B17" s="228">
        <v>481</v>
      </c>
      <c r="C17" s="229" t="s">
        <v>163</v>
      </c>
      <c r="D17" s="230">
        <f aca="true" t="shared" si="6" ref="D17:D25">B18-1</f>
        <v>498</v>
      </c>
      <c r="E17" s="231">
        <f aca="true" t="shared" si="7" ref="E17:E24">ROUNDDOWN(17/3-B17/180,1)</f>
        <v>2.9</v>
      </c>
      <c r="L17" s="240"/>
      <c r="M17" s="241"/>
      <c r="N17" s="242"/>
      <c r="O17" s="243"/>
    </row>
    <row r="18" spans="2:15" ht="18" customHeight="1" hidden="1">
      <c r="B18" s="228">
        <v>499</v>
      </c>
      <c r="C18" s="229" t="s">
        <v>163</v>
      </c>
      <c r="D18" s="230">
        <f t="shared" si="6"/>
        <v>516</v>
      </c>
      <c r="E18" s="231">
        <f t="shared" si="7"/>
        <v>2.8</v>
      </c>
      <c r="L18" s="240"/>
      <c r="M18" s="241"/>
      <c r="N18" s="242"/>
      <c r="O18" s="243"/>
    </row>
    <row r="19" spans="2:15" ht="18" customHeight="1" hidden="1">
      <c r="B19" s="228">
        <v>517</v>
      </c>
      <c r="C19" s="229" t="s">
        <v>163</v>
      </c>
      <c r="D19" s="230">
        <f t="shared" si="6"/>
        <v>534</v>
      </c>
      <c r="E19" s="231">
        <f t="shared" si="7"/>
        <v>2.7</v>
      </c>
      <c r="L19" s="240"/>
      <c r="M19" s="241"/>
      <c r="N19" s="242"/>
      <c r="O19" s="243"/>
    </row>
    <row r="20" spans="2:15" ht="18" customHeight="1" hidden="1">
      <c r="B20" s="228">
        <v>535</v>
      </c>
      <c r="C20" s="229" t="s">
        <v>163</v>
      </c>
      <c r="D20" s="230">
        <f t="shared" si="6"/>
        <v>552</v>
      </c>
      <c r="E20" s="231">
        <f t="shared" si="7"/>
        <v>2.6</v>
      </c>
      <c r="L20" s="240"/>
      <c r="M20" s="241"/>
      <c r="N20" s="242"/>
      <c r="O20" s="243"/>
    </row>
    <row r="21" spans="2:10" ht="15.75" hidden="1">
      <c r="B21" s="228">
        <v>553</v>
      </c>
      <c r="C21" s="229" t="s">
        <v>163</v>
      </c>
      <c r="D21" s="230">
        <f t="shared" si="6"/>
        <v>570</v>
      </c>
      <c r="E21" s="231">
        <f t="shared" si="7"/>
        <v>2.5</v>
      </c>
      <c r="J21" s="244"/>
    </row>
    <row r="22" spans="2:10" ht="15.75" hidden="1">
      <c r="B22" s="228">
        <v>571</v>
      </c>
      <c r="C22" s="229" t="s">
        <v>163</v>
      </c>
      <c r="D22" s="230">
        <f t="shared" si="6"/>
        <v>588</v>
      </c>
      <c r="E22" s="231">
        <f t="shared" si="7"/>
        <v>2.4</v>
      </c>
      <c r="J22" s="244"/>
    </row>
    <row r="23" spans="2:10" ht="15.75" hidden="1">
      <c r="B23" s="228">
        <v>589</v>
      </c>
      <c r="C23" s="229" t="s">
        <v>163</v>
      </c>
      <c r="D23" s="230">
        <f t="shared" si="6"/>
        <v>606</v>
      </c>
      <c r="E23" s="231">
        <f t="shared" si="7"/>
        <v>2.3</v>
      </c>
      <c r="J23" s="244"/>
    </row>
    <row r="24" spans="2:10" ht="15.75" hidden="1">
      <c r="B24" s="228">
        <v>607</v>
      </c>
      <c r="C24" s="229" t="s">
        <v>163</v>
      </c>
      <c r="D24" s="230">
        <f t="shared" si="6"/>
        <v>624</v>
      </c>
      <c r="E24" s="231">
        <f t="shared" si="7"/>
        <v>2.2</v>
      </c>
      <c r="J24" s="244"/>
    </row>
    <row r="25" spans="2:10" ht="15.75" hidden="1">
      <c r="B25" s="233">
        <v>625</v>
      </c>
      <c r="C25" s="232" t="s">
        <v>163</v>
      </c>
      <c r="D25" s="234">
        <f t="shared" si="6"/>
        <v>642</v>
      </c>
      <c r="E25" s="231">
        <f>ROUNDDOWN(17/3-B25/180,1)</f>
        <v>2.1</v>
      </c>
      <c r="J25" s="244"/>
    </row>
    <row r="26" spans="2:10" ht="16.5" hidden="1" thickBot="1">
      <c r="B26" s="235">
        <v>643</v>
      </c>
      <c r="C26" s="236" t="s">
        <v>163</v>
      </c>
      <c r="D26" s="237">
        <f>G17-1</f>
        <v>-1</v>
      </c>
      <c r="E26" s="238">
        <f>ROUNDDOWN(17/3-B26/180,1)</f>
        <v>2</v>
      </c>
      <c r="J26" s="244"/>
    </row>
    <row r="27" spans="2:5" ht="15.75" hidden="1">
      <c r="B27" s="228">
        <v>661</v>
      </c>
      <c r="C27" s="229" t="s">
        <v>163</v>
      </c>
      <c r="D27" s="230">
        <f aca="true" t="shared" si="8" ref="D27:D35">B28-1</f>
        <v>678</v>
      </c>
      <c r="E27" s="224">
        <f aca="true" t="shared" si="9" ref="E27:E34">ROUNDDOWN(17/3-B27/180,1)</f>
        <v>1.9</v>
      </c>
    </row>
    <row r="28" spans="2:5" ht="15.75" hidden="1">
      <c r="B28" s="228">
        <v>679</v>
      </c>
      <c r="C28" s="229" t="s">
        <v>163</v>
      </c>
      <c r="D28" s="230">
        <f t="shared" si="8"/>
        <v>696</v>
      </c>
      <c r="E28" s="224">
        <f t="shared" si="9"/>
        <v>1.8</v>
      </c>
    </row>
    <row r="29" spans="2:5" ht="15.75" hidden="1">
      <c r="B29" s="228">
        <v>697</v>
      </c>
      <c r="C29" s="229" t="s">
        <v>163</v>
      </c>
      <c r="D29" s="230">
        <f t="shared" si="8"/>
        <v>714</v>
      </c>
      <c r="E29" s="224">
        <f t="shared" si="9"/>
        <v>1.7</v>
      </c>
    </row>
    <row r="30" spans="2:5" ht="15.75" hidden="1">
      <c r="B30" s="228">
        <v>715</v>
      </c>
      <c r="C30" s="229" t="s">
        <v>163</v>
      </c>
      <c r="D30" s="230">
        <f t="shared" si="8"/>
        <v>732</v>
      </c>
      <c r="E30" s="224">
        <f t="shared" si="9"/>
        <v>1.6</v>
      </c>
    </row>
    <row r="31" spans="2:5" ht="15.75" hidden="1">
      <c r="B31" s="228">
        <v>733</v>
      </c>
      <c r="C31" s="229" t="s">
        <v>163</v>
      </c>
      <c r="D31" s="230">
        <f t="shared" si="8"/>
        <v>750</v>
      </c>
      <c r="E31" s="224">
        <f t="shared" si="9"/>
        <v>1.5</v>
      </c>
    </row>
    <row r="32" spans="2:5" ht="15.75" hidden="1">
      <c r="B32" s="228">
        <v>751</v>
      </c>
      <c r="C32" s="229" t="s">
        <v>163</v>
      </c>
      <c r="D32" s="230">
        <f t="shared" si="8"/>
        <v>768</v>
      </c>
      <c r="E32" s="224">
        <f t="shared" si="9"/>
        <v>1.4</v>
      </c>
    </row>
    <row r="33" spans="2:5" ht="15.75" hidden="1">
      <c r="B33" s="228">
        <v>769</v>
      </c>
      <c r="C33" s="229" t="s">
        <v>163</v>
      </c>
      <c r="D33" s="230">
        <f t="shared" si="8"/>
        <v>786</v>
      </c>
      <c r="E33" s="224">
        <f t="shared" si="9"/>
        <v>1.3</v>
      </c>
    </row>
    <row r="34" spans="2:5" ht="15.75" hidden="1">
      <c r="B34" s="228">
        <v>787</v>
      </c>
      <c r="C34" s="229" t="s">
        <v>163</v>
      </c>
      <c r="D34" s="230">
        <f t="shared" si="8"/>
        <v>804</v>
      </c>
      <c r="E34" s="224">
        <f t="shared" si="9"/>
        <v>1.2</v>
      </c>
    </row>
    <row r="35" spans="2:5" ht="15.75" hidden="1">
      <c r="B35" s="228">
        <v>805</v>
      </c>
      <c r="C35" s="229" t="s">
        <v>163</v>
      </c>
      <c r="D35" s="230">
        <f t="shared" si="8"/>
        <v>822</v>
      </c>
      <c r="E35" s="224">
        <f>ROUNDDOWN(17/3-B35/180,1)</f>
        <v>1.1</v>
      </c>
    </row>
    <row r="36" spans="2:5" ht="16.5" hidden="1" thickBot="1">
      <c r="B36" s="235">
        <v>823</v>
      </c>
      <c r="C36" s="236" t="s">
        <v>163</v>
      </c>
      <c r="D36" s="239">
        <v>900</v>
      </c>
      <c r="E36" s="238">
        <f>ROUNDDOWN(17/3-B36/180,1)</f>
        <v>1</v>
      </c>
    </row>
    <row r="37" ht="12.75" hidden="1"/>
    <row r="38" ht="12.75" hidden="1"/>
    <row r="39" ht="12.75" hidden="1"/>
    <row r="40" ht="12.75" hidden="1"/>
    <row r="41" ht="12.75" hidden="1"/>
  </sheetData>
  <sheetProtection password="81D9" sheet="1"/>
  <mergeCells count="5">
    <mergeCell ref="B2:N2"/>
    <mergeCell ref="B3:O3"/>
    <mergeCell ref="B5:D5"/>
    <mergeCell ref="G5:I5"/>
    <mergeCell ref="L5:N5"/>
  </mergeCells>
  <printOptions/>
  <pageMargins left="0.7479166666666667" right="0.7479166666666667" top="0.9840277777777777" bottom="0.9840277777777777" header="0.5118055555555555" footer="0.511805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1:N20"/>
  <sheetViews>
    <sheetView showGridLines="0" showRowColHeaders="0" showZeros="0" zoomScale="125" zoomScaleNormal="125" zoomScalePageLayoutView="0" workbookViewId="0" topLeftCell="A1">
      <selection activeCell="B1" sqref="B1:K1"/>
    </sheetView>
  </sheetViews>
  <sheetFormatPr defaultColWidth="11.421875" defaultRowHeight="12.75"/>
  <cols>
    <col min="1" max="1" width="3.57421875" style="0" customWidth="1"/>
    <col min="2" max="2" width="9.7109375" style="0" customWidth="1"/>
    <col min="3" max="3" width="0.9921875" style="0" customWidth="1"/>
    <col min="4" max="4" width="18.00390625" style="0" customWidth="1"/>
    <col min="5" max="5" width="0.9921875" style="0" customWidth="1"/>
    <col min="6" max="6" width="10.421875" style="0" customWidth="1"/>
    <col min="7" max="7" width="1.28515625" style="0" customWidth="1"/>
    <col min="8" max="8" width="8.28125" style="0" customWidth="1"/>
    <col min="9" max="9" width="3.7109375" style="93" customWidth="1"/>
    <col min="10" max="10" width="15.57421875" style="0" customWidth="1"/>
    <col min="11" max="11" width="4.28125" style="0" customWidth="1"/>
    <col min="12" max="12" width="3.421875" style="94" customWidth="1"/>
    <col min="13" max="13" width="17.421875" style="0" customWidth="1"/>
    <col min="14" max="14" width="15.8515625" style="0" customWidth="1"/>
  </cols>
  <sheetData>
    <row r="1" spans="2:14" ht="36" customHeight="1">
      <c r="B1" s="1264" t="s">
        <v>109</v>
      </c>
      <c r="C1" s="1264"/>
      <c r="D1" s="1264"/>
      <c r="E1" s="1264"/>
      <c r="F1" s="1264"/>
      <c r="G1" s="1264"/>
      <c r="H1" s="1264"/>
      <c r="I1" s="1264"/>
      <c r="J1" s="1264"/>
      <c r="K1" s="1264"/>
      <c r="N1" s="253" t="s">
        <v>110</v>
      </c>
    </row>
    <row r="2" ht="13.5" thickBot="1"/>
    <row r="3" spans="2:11" ht="25.5" customHeight="1">
      <c r="B3" s="1275" t="s">
        <v>111</v>
      </c>
      <c r="C3" s="1275"/>
      <c r="D3" s="1275"/>
      <c r="E3" s="1275"/>
      <c r="F3" s="1275"/>
      <c r="G3" s="1275"/>
      <c r="H3" s="1275"/>
      <c r="I3" s="1275"/>
      <c r="J3" s="1275"/>
      <c r="K3" s="1276"/>
    </row>
    <row r="4" spans="2:14" ht="12.75" customHeight="1">
      <c r="B4" s="1271" t="s">
        <v>113</v>
      </c>
      <c r="C4" s="1256" t="s">
        <v>114</v>
      </c>
      <c r="D4" s="1256"/>
      <c r="E4" s="1256"/>
      <c r="F4" s="1256"/>
      <c r="G4" s="1256" t="s">
        <v>115</v>
      </c>
      <c r="H4" s="1256"/>
      <c r="I4" s="1256"/>
      <c r="J4" s="1256"/>
      <c r="K4" s="1257"/>
      <c r="L4" s="614" t="s">
        <v>112</v>
      </c>
      <c r="M4" s="1260" t="s">
        <v>420</v>
      </c>
      <c r="N4" s="1261"/>
    </row>
    <row r="5" spans="2:14" ht="14.25" customHeight="1">
      <c r="B5" s="1271"/>
      <c r="C5" s="1258" t="s">
        <v>116</v>
      </c>
      <c r="D5" s="1258"/>
      <c r="E5" s="1258"/>
      <c r="F5" s="1258"/>
      <c r="G5" s="1258" t="s">
        <v>116</v>
      </c>
      <c r="H5" s="1258"/>
      <c r="I5" s="1258"/>
      <c r="J5" s="1258"/>
      <c r="K5" s="1259"/>
      <c r="L5" s="615"/>
      <c r="M5" s="1262"/>
      <c r="N5" s="1263"/>
    </row>
    <row r="6" spans="2:14" ht="14.25" customHeight="1">
      <c r="B6" s="1271"/>
      <c r="C6" s="1252" t="s">
        <v>341</v>
      </c>
      <c r="D6" s="1253"/>
      <c r="E6" s="1253"/>
      <c r="F6" s="1254"/>
      <c r="G6" s="95"/>
      <c r="H6" s="1253" t="s">
        <v>341</v>
      </c>
      <c r="I6" s="1253"/>
      <c r="J6" s="1253"/>
      <c r="K6" s="1255"/>
      <c r="L6" s="616"/>
      <c r="M6" s="612" t="s">
        <v>421</v>
      </c>
      <c r="N6" s="604"/>
    </row>
    <row r="7" spans="2:14" ht="17.25" customHeight="1" thickBot="1">
      <c r="B7" s="1272"/>
      <c r="C7" s="1268" t="s">
        <v>342</v>
      </c>
      <c r="D7" s="1269"/>
      <c r="E7" s="1269"/>
      <c r="F7" s="1269"/>
      <c r="G7" s="1269"/>
      <c r="H7" s="1269"/>
      <c r="I7" s="1269"/>
      <c r="J7" s="1269"/>
      <c r="K7" s="1270"/>
      <c r="L7" s="617" t="s">
        <v>112</v>
      </c>
      <c r="M7" s="612" t="s">
        <v>117</v>
      </c>
      <c r="N7" s="613"/>
    </row>
    <row r="8" spans="2:13" ht="15" customHeight="1">
      <c r="B8" s="96"/>
      <c r="C8" s="97"/>
      <c r="D8" s="98" t="s">
        <v>118</v>
      </c>
      <c r="E8" s="99"/>
      <c r="F8" s="99"/>
      <c r="G8" s="99"/>
      <c r="H8" s="99"/>
      <c r="I8" s="100"/>
      <c r="J8" s="99"/>
      <c r="K8" s="101"/>
      <c r="M8" s="48"/>
    </row>
    <row r="9" spans="2:14" ht="15" customHeight="1">
      <c r="B9" s="1267" t="s">
        <v>6</v>
      </c>
      <c r="C9" s="102"/>
      <c r="D9" s="103" t="s">
        <v>119</v>
      </c>
      <c r="E9" s="104"/>
      <c r="F9" s="104"/>
      <c r="G9" s="104"/>
      <c r="H9" s="104"/>
      <c r="I9" s="105"/>
      <c r="J9" s="104"/>
      <c r="K9" s="106"/>
      <c r="L9" s="1273"/>
      <c r="N9" s="107"/>
    </row>
    <row r="10" spans="2:14" ht="15" customHeight="1">
      <c r="B10" s="1267"/>
      <c r="C10" s="102"/>
      <c r="D10" s="103" t="s">
        <v>120</v>
      </c>
      <c r="E10" s="104"/>
      <c r="F10" s="104"/>
      <c r="G10" s="104"/>
      <c r="H10" s="104"/>
      <c r="I10" s="105"/>
      <c r="J10" s="104"/>
      <c r="K10" s="106"/>
      <c r="L10" s="1273"/>
      <c r="N10" s="107"/>
    </row>
    <row r="11" spans="2:14" ht="15" customHeight="1" thickBot="1">
      <c r="B11" s="108"/>
      <c r="C11" s="109"/>
      <c r="D11" s="110" t="s">
        <v>121</v>
      </c>
      <c r="E11" s="111"/>
      <c r="F11" s="111"/>
      <c r="G11" s="111"/>
      <c r="H11" s="111"/>
      <c r="I11" s="112"/>
      <c r="J11" s="111"/>
      <c r="K11" s="113"/>
      <c r="M11" s="599" t="s">
        <v>402</v>
      </c>
      <c r="N11" s="600"/>
    </row>
    <row r="12" spans="2:14" ht="10.5" customHeight="1">
      <c r="B12" s="114"/>
      <c r="C12" s="115"/>
      <c r="D12" s="115"/>
      <c r="E12" s="115"/>
      <c r="F12" s="116"/>
      <c r="G12" s="117"/>
      <c r="H12" s="117"/>
      <c r="I12" s="117"/>
      <c r="J12" s="117"/>
      <c r="K12" s="118"/>
      <c r="M12" s="601" t="s">
        <v>403</v>
      </c>
      <c r="N12" s="602"/>
    </row>
    <row r="13" spans="2:14" ht="14.25" customHeight="1">
      <c r="B13" s="114" t="s">
        <v>415</v>
      </c>
      <c r="C13" s="119"/>
      <c r="D13" s="115" t="s">
        <v>122</v>
      </c>
      <c r="E13" s="115"/>
      <c r="F13" s="120"/>
      <c r="G13" s="117"/>
      <c r="H13" s="117"/>
      <c r="I13" s="121"/>
      <c r="J13" s="117"/>
      <c r="K13" s="122"/>
      <c r="M13" s="603" t="s">
        <v>404</v>
      </c>
      <c r="N13" s="604"/>
    </row>
    <row r="14" spans="2:14" ht="10.5" customHeight="1">
      <c r="B14" s="123"/>
      <c r="C14" s="119"/>
      <c r="D14" s="115"/>
      <c r="E14" s="115"/>
      <c r="F14" s="120"/>
      <c r="G14" s="117"/>
      <c r="H14" s="117"/>
      <c r="I14" s="117"/>
      <c r="J14" s="117"/>
      <c r="K14" s="122"/>
      <c r="M14" s="606" t="s">
        <v>405</v>
      </c>
      <c r="N14" s="607"/>
    </row>
    <row r="15" spans="2:14" ht="14.25" customHeight="1">
      <c r="B15" s="123" t="s">
        <v>414</v>
      </c>
      <c r="C15" s="119"/>
      <c r="D15" s="115"/>
      <c r="E15" s="115"/>
      <c r="F15" s="115"/>
      <c r="G15" s="124"/>
      <c r="H15" s="117"/>
      <c r="I15" s="117"/>
      <c r="J15" s="117"/>
      <c r="K15" s="122"/>
      <c r="M15" s="608" t="s">
        <v>408</v>
      </c>
      <c r="N15" s="609"/>
    </row>
    <row r="16" spans="2:14" ht="10.5" customHeight="1">
      <c r="B16" s="123"/>
      <c r="C16" s="119"/>
      <c r="D16" s="115" t="s">
        <v>123</v>
      </c>
      <c r="E16" s="115"/>
      <c r="F16" s="120"/>
      <c r="G16" s="125"/>
      <c r="H16" s="1274" t="s">
        <v>124</v>
      </c>
      <c r="I16" s="1274"/>
      <c r="J16" s="1274"/>
      <c r="K16" s="1274"/>
      <c r="M16" s="610" t="s">
        <v>407</v>
      </c>
      <c r="N16" s="611"/>
    </row>
    <row r="17" spans="2:14" ht="14.25" customHeight="1">
      <c r="B17" s="123" t="s">
        <v>413</v>
      </c>
      <c r="C17" s="119"/>
      <c r="D17" s="115"/>
      <c r="E17" s="115"/>
      <c r="F17" s="120"/>
      <c r="G17" s="124"/>
      <c r="H17" s="117"/>
      <c r="I17" s="121"/>
      <c r="J17" s="117"/>
      <c r="K17" s="122"/>
      <c r="M17" s="608" t="s">
        <v>406</v>
      </c>
      <c r="N17" s="609"/>
    </row>
    <row r="18" spans="2:14" ht="10.5" customHeight="1">
      <c r="B18" s="123"/>
      <c r="C18" s="119"/>
      <c r="D18" s="115"/>
      <c r="E18" s="115"/>
      <c r="F18" s="120"/>
      <c r="G18" s="124"/>
      <c r="H18" s="117"/>
      <c r="I18" s="121"/>
      <c r="J18" s="117"/>
      <c r="K18" s="122"/>
      <c r="M18" s="610" t="s">
        <v>411</v>
      </c>
      <c r="N18" s="611"/>
    </row>
    <row r="19" spans="2:14" ht="13.5" customHeight="1">
      <c r="B19" s="126" t="s">
        <v>412</v>
      </c>
      <c r="C19" s="119"/>
      <c r="D19" s="1265" t="s">
        <v>125</v>
      </c>
      <c r="E19" s="1265"/>
      <c r="F19" s="1265"/>
      <c r="G19" s="124"/>
      <c r="H19" s="1266" t="s">
        <v>126</v>
      </c>
      <c r="I19" s="1266"/>
      <c r="J19" s="1266"/>
      <c r="K19" s="122"/>
      <c r="M19" s="608" t="s">
        <v>409</v>
      </c>
      <c r="N19" s="609"/>
    </row>
    <row r="20" spans="2:14" ht="13.5" customHeight="1" thickBot="1">
      <c r="B20" s="127"/>
      <c r="C20" s="128"/>
      <c r="D20" s="129"/>
      <c r="E20" s="129"/>
      <c r="F20" s="130"/>
      <c r="G20" s="131"/>
      <c r="H20" s="132"/>
      <c r="I20" s="133"/>
      <c r="J20" s="132"/>
      <c r="K20" s="134"/>
      <c r="M20" s="605" t="s">
        <v>410</v>
      </c>
      <c r="N20" s="604"/>
    </row>
  </sheetData>
  <sheetProtection password="81D9" sheet="1"/>
  <mergeCells count="16">
    <mergeCell ref="M4:N5"/>
    <mergeCell ref="B1:K1"/>
    <mergeCell ref="D19:F19"/>
    <mergeCell ref="H19:J19"/>
    <mergeCell ref="B9:B10"/>
    <mergeCell ref="C7:K7"/>
    <mergeCell ref="B4:B7"/>
    <mergeCell ref="L9:L10"/>
    <mergeCell ref="H16:K16"/>
    <mergeCell ref="B3:K3"/>
    <mergeCell ref="C6:F6"/>
    <mergeCell ref="H6:K6"/>
    <mergeCell ref="C4:F4"/>
    <mergeCell ref="G4:K4"/>
    <mergeCell ref="C5:F5"/>
    <mergeCell ref="G5:K5"/>
  </mergeCells>
  <printOptions/>
  <pageMargins left="0.7479166666666667" right="0.7479166666666667" top="0.9840277777777777" bottom="0.9840277777777777"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BU266"/>
  <sheetViews>
    <sheetView showGridLines="0" showRowColHeaders="0" tabSelected="1" zoomScale="90" zoomScaleNormal="90" zoomScalePageLayoutView="0" workbookViewId="0" topLeftCell="A1">
      <selection activeCell="B3" sqref="B3:M3"/>
    </sheetView>
  </sheetViews>
  <sheetFormatPr defaultColWidth="11.421875" defaultRowHeight="12.75"/>
  <cols>
    <col min="1" max="1" width="1.421875" style="33" customWidth="1"/>
    <col min="2" max="2" width="7.140625" style="33" customWidth="1"/>
    <col min="3" max="4" width="7.00390625" style="33" customWidth="1"/>
    <col min="5" max="5" width="5.7109375" style="33" customWidth="1"/>
    <col min="6" max="6" width="5.57421875" style="33" customWidth="1"/>
    <col min="7" max="11" width="5.7109375" style="33" customWidth="1"/>
    <col min="12" max="12" width="6.8515625" style="33" customWidth="1"/>
    <col min="13" max="13" width="7.28125" style="33" customWidth="1"/>
    <col min="14" max="14" width="0.85546875" style="33" customWidth="1"/>
    <col min="15" max="15" width="3.140625" style="33" customWidth="1"/>
    <col min="16" max="16" width="8.140625" style="33" customWidth="1"/>
    <col min="17" max="17" width="2.28125" style="33" customWidth="1"/>
    <col min="18" max="18" width="8.421875" style="34" customWidth="1"/>
    <col min="19" max="19" width="7.28125" style="34" customWidth="1"/>
    <col min="20" max="20" width="5.00390625" style="34" customWidth="1"/>
    <col min="21" max="21" width="5.28125" style="34" hidden="1" customWidth="1"/>
    <col min="22" max="22" width="5.140625" style="0" hidden="1" customWidth="1"/>
    <col min="23" max="24" width="5.7109375" style="0" customWidth="1"/>
    <col min="25" max="26" width="5.7109375" style="61" customWidth="1"/>
    <col min="27" max="29" width="6.00390625" style="61" customWidth="1"/>
    <col min="30" max="30" width="5.7109375" style="61" customWidth="1"/>
    <col min="31" max="31" width="11.00390625" style="61" customWidth="1"/>
    <col min="32" max="32" width="7.57421875" style="61" customWidth="1"/>
    <col min="33" max="33" width="8.7109375" style="0" customWidth="1"/>
    <col min="34" max="34" width="3.140625" style="0" customWidth="1"/>
    <col min="35" max="35" width="5.8515625" style="0" hidden="1" customWidth="1"/>
    <col min="36" max="36" width="4.421875" style="0" hidden="1" customWidth="1"/>
    <col min="37" max="45" width="4.421875" style="44" hidden="1" customWidth="1"/>
    <col min="46" max="46" width="5.421875" style="44" hidden="1" customWidth="1"/>
    <col min="47" max="49" width="4.421875" style="44" hidden="1" customWidth="1"/>
    <col min="50" max="50" width="8.140625" style="44" hidden="1" customWidth="1"/>
    <col min="51" max="51" width="4.421875" style="44" hidden="1" customWidth="1"/>
    <col min="52" max="52" width="5.8515625" style="44" hidden="1" customWidth="1"/>
    <col min="53" max="58" width="4.421875" style="44" hidden="1" customWidth="1"/>
    <col min="59" max="59" width="4.421875" style="288" hidden="1" customWidth="1"/>
    <col min="60" max="60" width="4.421875" style="391" hidden="1" customWidth="1"/>
    <col min="61" max="61" width="4.421875" style="44" hidden="1" customWidth="1"/>
    <col min="62" max="62" width="9.57421875" style="44" hidden="1" customWidth="1"/>
    <col min="63" max="63" width="9.28125" style="44" hidden="1" customWidth="1"/>
    <col min="64" max="67" width="4.421875" style="44" hidden="1" customWidth="1"/>
    <col min="68" max="68" width="7.28125" style="44" hidden="1" customWidth="1"/>
    <col min="69" max="69" width="4.421875" style="44" hidden="1" customWidth="1"/>
    <col min="70" max="71" width="4.421875" style="0" hidden="1" customWidth="1"/>
    <col min="72" max="72" width="7.8515625" style="0" hidden="1" customWidth="1"/>
    <col min="73" max="78" width="11.421875" style="33" hidden="1" customWidth="1"/>
    <col min="79" max="16384" width="11.421875" style="33" customWidth="1"/>
  </cols>
  <sheetData>
    <row r="1" spans="2:73" ht="28.5" customHeight="1" thickBot="1">
      <c r="B1" s="1368" t="str">
        <f>Dokumentation!B1</f>
        <v>Gymnasium an der Gartenstraße</v>
      </c>
      <c r="C1" s="1368"/>
      <c r="D1" s="1368"/>
      <c r="E1" s="1368"/>
      <c r="F1" s="1368"/>
      <c r="G1" s="1368"/>
      <c r="H1" s="1368"/>
      <c r="I1" s="1368"/>
      <c r="J1" s="1368"/>
      <c r="K1" s="1368"/>
      <c r="L1" s="1368"/>
      <c r="M1" s="1368"/>
      <c r="N1" s="1190"/>
      <c r="O1" s="1190"/>
      <c r="P1" s="1190"/>
      <c r="Q1" s="1190"/>
      <c r="R1" s="389"/>
      <c r="S1" s="389"/>
      <c r="T1" s="389"/>
      <c r="U1" s="389"/>
      <c r="V1" s="389"/>
      <c r="W1" s="389"/>
      <c r="X1" s="389"/>
      <c r="Y1" s="389"/>
      <c r="Z1" s="389"/>
      <c r="AA1" s="389"/>
      <c r="AB1" s="389"/>
      <c r="AC1" s="389"/>
      <c r="AD1" s="1190"/>
      <c r="AE1" s="1191" t="s">
        <v>1</v>
      </c>
      <c r="AF1" s="1192" t="s">
        <v>16</v>
      </c>
      <c r="AG1" s="344" t="str">
        <f>RIGHT(Dokumentation!B23,10)</f>
        <v>22.01.2017</v>
      </c>
      <c r="AH1" s="33"/>
      <c r="AI1" s="325"/>
      <c r="AJ1" s="325"/>
      <c r="AK1" s="78"/>
      <c r="AL1" s="78"/>
      <c r="AM1" s="584"/>
      <c r="AN1" s="584"/>
      <c r="AO1" s="584"/>
      <c r="AP1" s="584"/>
      <c r="AQ1" s="1052"/>
      <c r="AR1" s="584"/>
      <c r="AS1" s="584"/>
      <c r="AT1" s="584"/>
      <c r="AU1" s="584"/>
      <c r="AV1" s="584"/>
      <c r="AW1" s="584"/>
      <c r="AX1" s="584"/>
      <c r="AY1" s="584"/>
      <c r="AZ1" s="584"/>
      <c r="BA1" s="584"/>
      <c r="BB1" s="584"/>
      <c r="BC1" s="584"/>
      <c r="BD1" s="584"/>
      <c r="BE1" s="584"/>
      <c r="BF1" s="584"/>
      <c r="BG1" s="391"/>
      <c r="BI1" s="584"/>
      <c r="BJ1" s="584"/>
      <c r="BK1" s="584"/>
      <c r="BL1" s="584"/>
      <c r="BM1" s="584"/>
      <c r="BN1" s="584"/>
      <c r="BO1" s="584"/>
      <c r="BP1" s="584"/>
      <c r="BQ1" s="584"/>
      <c r="BR1" s="48"/>
      <c r="BS1" s="48"/>
      <c r="BT1" s="48"/>
      <c r="BU1" s="325"/>
    </row>
    <row r="2" spans="18:38" ht="5.25" customHeight="1">
      <c r="R2" s="38"/>
      <c r="S2" s="38"/>
      <c r="T2" s="38"/>
      <c r="U2" s="38"/>
      <c r="V2" s="38"/>
      <c r="W2" s="38"/>
      <c r="X2" s="38"/>
      <c r="Y2" s="38"/>
      <c r="Z2" s="38"/>
      <c r="AA2" s="38"/>
      <c r="AB2" s="38"/>
      <c r="AC2" s="38"/>
      <c r="AD2" s="38"/>
      <c r="AE2" s="38"/>
      <c r="AF2" s="38"/>
      <c r="AG2" s="38"/>
      <c r="AH2" s="33"/>
      <c r="AI2" s="33"/>
      <c r="AJ2" s="33"/>
      <c r="AK2" s="61"/>
      <c r="AL2" s="61"/>
    </row>
    <row r="3" spans="2:38" ht="49.5" customHeight="1">
      <c r="B3" s="1369" t="s">
        <v>263</v>
      </c>
      <c r="C3" s="1370"/>
      <c r="D3" s="1370"/>
      <c r="E3" s="1370"/>
      <c r="F3" s="1370"/>
      <c r="G3" s="1370"/>
      <c r="H3" s="1370"/>
      <c r="I3" s="1370"/>
      <c r="J3" s="1370"/>
      <c r="K3" s="1370"/>
      <c r="L3" s="1370"/>
      <c r="M3" s="1371"/>
      <c r="N3" s="46"/>
      <c r="O3" s="46"/>
      <c r="P3" s="46"/>
      <c r="Q3" s="46"/>
      <c r="R3" s="1370" t="s">
        <v>534</v>
      </c>
      <c r="S3" s="1370"/>
      <c r="T3" s="1370"/>
      <c r="U3" s="1370"/>
      <c r="V3" s="1370"/>
      <c r="W3" s="1370"/>
      <c r="X3" s="1370"/>
      <c r="Y3" s="1370"/>
      <c r="Z3" s="1370"/>
      <c r="AA3" s="1370"/>
      <c r="AB3" s="1370"/>
      <c r="AC3" s="1370"/>
      <c r="AD3" s="1370"/>
      <c r="AE3" s="1370"/>
      <c r="AF3" s="1370"/>
      <c r="AG3" s="1370"/>
      <c r="AH3" s="46"/>
      <c r="AI3" s="33"/>
      <c r="AJ3" s="33"/>
      <c r="AK3" s="61"/>
      <c r="AL3" s="61"/>
    </row>
    <row r="4" spans="2:38" ht="2.25" customHeight="1">
      <c r="B4" s="46"/>
      <c r="C4" s="46"/>
      <c r="D4" s="46"/>
      <c r="E4" s="46"/>
      <c r="F4" s="46"/>
      <c r="G4" s="46"/>
      <c r="H4" s="46"/>
      <c r="I4" s="46"/>
      <c r="J4" s="46"/>
      <c r="K4" s="46"/>
      <c r="L4" s="46"/>
      <c r="M4" s="46"/>
      <c r="N4" s="46"/>
      <c r="O4" s="46"/>
      <c r="P4" s="46"/>
      <c r="Q4" s="46"/>
      <c r="R4" s="1370"/>
      <c r="S4" s="1370"/>
      <c r="T4" s="1370"/>
      <c r="U4" s="1370"/>
      <c r="V4" s="1370"/>
      <c r="W4" s="1370"/>
      <c r="X4" s="1370"/>
      <c r="Y4" s="1370"/>
      <c r="Z4" s="1370"/>
      <c r="AA4" s="1370"/>
      <c r="AB4" s="1370"/>
      <c r="AC4" s="1370"/>
      <c r="AD4" s="1370"/>
      <c r="AE4" s="1370"/>
      <c r="AF4" s="1370"/>
      <c r="AG4" s="1370"/>
      <c r="AH4" s="46"/>
      <c r="AI4" s="33"/>
      <c r="AJ4" s="33"/>
      <c r="AK4" s="61"/>
      <c r="AL4" s="61"/>
    </row>
    <row r="5" spans="2:38" ht="2.25" customHeight="1" thickBot="1">
      <c r="B5" s="1436"/>
      <c r="C5" s="1436"/>
      <c r="D5" s="1436"/>
      <c r="E5" s="1436"/>
      <c r="F5" s="1436"/>
      <c r="G5" s="1436"/>
      <c r="H5" s="1436"/>
      <c r="I5" s="1436"/>
      <c r="J5" s="1436"/>
      <c r="K5" s="1436"/>
      <c r="L5" s="1436"/>
      <c r="M5" s="1436"/>
      <c r="O5" s="1437">
        <f>IF(AND(COUNTIF('Punkte-Berechnung'!AB11:AB13,4)+COUNTIF('Punkte-Berechnung'!AB25:AB28,4)&gt;3,OR(AND(3-COUNTIF(D10:D12,"")&gt;=2,4-COUNTIF(D24:D27,"")&gt;=2,COUNT(H10:H12)&gt;=2,COUNT(H24:H27)&gt;=2),AND(4-COUNTIF(D24:D27,"")&gt;2,COUNT(H24:H27)&gt;2)))," Schriftlich-keit bei          FS / NW eingeben!","")</f>
      </c>
      <c r="P5" s="1437"/>
      <c r="R5" s="1128"/>
      <c r="S5" s="1128"/>
      <c r="T5" s="1128"/>
      <c r="U5" s="1128"/>
      <c r="V5" s="1128"/>
      <c r="W5" s="1128"/>
      <c r="X5" s="1128"/>
      <c r="Y5" s="1128"/>
      <c r="Z5" s="1128"/>
      <c r="AA5" s="1128"/>
      <c r="AB5" s="1128"/>
      <c r="AC5" s="1128"/>
      <c r="AD5" s="46"/>
      <c r="AE5" s="46"/>
      <c r="AF5" s="46"/>
      <c r="AG5" s="46"/>
      <c r="AH5" s="46"/>
      <c r="AI5" s="33"/>
      <c r="AJ5" s="33"/>
      <c r="AK5" s="61"/>
      <c r="AL5" s="61"/>
    </row>
    <row r="6" spans="2:72" ht="24.75" customHeight="1" thickBot="1">
      <c r="B6" s="1380" t="s">
        <v>264</v>
      </c>
      <c r="C6" s="1383"/>
      <c r="D6" s="1384" t="s">
        <v>519</v>
      </c>
      <c r="E6" s="1385"/>
      <c r="F6" s="1426" t="s">
        <v>176</v>
      </c>
      <c r="G6" s="1427"/>
      <c r="H6" s="1428" t="s">
        <v>249</v>
      </c>
      <c r="I6" s="1429"/>
      <c r="J6" s="1429"/>
      <c r="K6" s="1429"/>
      <c r="L6" s="1374" t="s">
        <v>337</v>
      </c>
      <c r="M6" s="1377" t="s">
        <v>256</v>
      </c>
      <c r="O6" s="1437"/>
      <c r="P6" s="1437"/>
      <c r="R6" s="1415"/>
      <c r="S6" s="1129"/>
      <c r="T6" s="1130"/>
      <c r="U6" s="1396" t="s">
        <v>176</v>
      </c>
      <c r="V6" s="1397"/>
      <c r="W6" s="1421" t="s">
        <v>175</v>
      </c>
      <c r="X6" s="1421"/>
      <c r="Y6" s="1421"/>
      <c r="Z6" s="1422"/>
      <c r="AA6" s="1372" t="s">
        <v>19</v>
      </c>
      <c r="AB6" s="1373"/>
      <c r="AC6" s="1373"/>
      <c r="AD6" s="1131"/>
      <c r="AE6" s="1420">
        <f>IF(OR(COUNT(F9:F30)&lt;10,AND(COUNT(F9:F30)=10,COUNT(F34:F36)&lt;2),COUNT(G9:G30)&lt;10,AND(COUNT(G9:G30)=10,COUNT(G34:G36)&lt;2)),"In EF müssen mind. 11 Kurse oder 10 Kurse plus 2 Vertiefungs-  fächer belegt werden.",IF(F38&lt;34,"Die durchschnittliche Wochenstundenzahl darf in der EFnicht unter 34 liegen!",IF(OR(H38="",J38=""),"",IF(OR(H38&lt;32,J38&lt;32),"Die Wochenstundenzahl in der Qualifikationsphase darf 32 nicht unterschreiten.",IF(H38+J38&lt;68,"Die durchschnittliche Wochen-      stundenzahl darf in der Qualifika-tionsphase nicht unter 34 liegen.","")))))</f>
      </c>
      <c r="AF6" s="1420"/>
      <c r="AG6" s="1420"/>
      <c r="AH6" s="46"/>
      <c r="AI6" s="33"/>
      <c r="AJ6" s="33"/>
      <c r="AK6" s="61"/>
      <c r="AL6" s="61"/>
      <c r="BG6" s="391"/>
      <c r="BI6" s="391"/>
      <c r="BJ6" s="391"/>
      <c r="BK6" s="391"/>
      <c r="BL6" s="391"/>
      <c r="BM6" s="391"/>
      <c r="BN6" s="391"/>
      <c r="BO6" s="391"/>
      <c r="BP6" s="391"/>
      <c r="BQ6" s="391"/>
      <c r="BR6" s="570" t="s">
        <v>514</v>
      </c>
      <c r="BS6" s="570"/>
      <c r="BT6" s="570"/>
    </row>
    <row r="7" spans="2:72" ht="16.5" customHeight="1" thickBot="1">
      <c r="B7" s="1381"/>
      <c r="C7" s="1383"/>
      <c r="D7" s="1200" t="s">
        <v>215</v>
      </c>
      <c r="E7" s="1386" t="s">
        <v>425</v>
      </c>
      <c r="F7" s="1411" t="s">
        <v>23</v>
      </c>
      <c r="G7" s="1412"/>
      <c r="H7" s="1413" t="s">
        <v>24</v>
      </c>
      <c r="I7" s="1414"/>
      <c r="J7" s="1413" t="s">
        <v>25</v>
      </c>
      <c r="K7" s="1413"/>
      <c r="L7" s="1375"/>
      <c r="M7" s="1378"/>
      <c r="O7" s="1437"/>
      <c r="P7" s="1437"/>
      <c r="R7" s="1415"/>
      <c r="S7" s="1430" t="s">
        <v>22</v>
      </c>
      <c r="T7" s="1432" t="s">
        <v>21</v>
      </c>
      <c r="U7" s="1424" t="s">
        <v>23</v>
      </c>
      <c r="V7" s="1425"/>
      <c r="W7" s="1423" t="s">
        <v>24</v>
      </c>
      <c r="X7" s="1423"/>
      <c r="Y7" s="1407" t="s">
        <v>25</v>
      </c>
      <c r="Z7" s="1408"/>
      <c r="AA7" s="1132" t="s">
        <v>26</v>
      </c>
      <c r="AB7" s="1409" t="s">
        <v>66</v>
      </c>
      <c r="AC7" s="1409"/>
      <c r="AD7" s="1131"/>
      <c r="AE7" s="1420"/>
      <c r="AF7" s="1420"/>
      <c r="AG7" s="1420"/>
      <c r="AH7" s="46"/>
      <c r="AI7" s="33"/>
      <c r="AJ7" s="902" t="s">
        <v>62</v>
      </c>
      <c r="AK7" s="641"/>
      <c r="AL7" s="61"/>
      <c r="AO7" s="391"/>
      <c r="AP7" s="391"/>
      <c r="AQ7" s="391"/>
      <c r="AR7" s="391"/>
      <c r="AS7" s="391"/>
      <c r="AT7" s="391"/>
      <c r="AU7" s="391"/>
      <c r="AV7" s="391"/>
      <c r="BG7" s="391"/>
      <c r="BI7" s="391"/>
      <c r="BJ7" s="391"/>
      <c r="BK7" s="391"/>
      <c r="BL7" s="391"/>
      <c r="BM7" s="391"/>
      <c r="BN7" s="391"/>
      <c r="BO7" s="391"/>
      <c r="BP7" s="391"/>
      <c r="BQ7" s="391"/>
      <c r="BR7" s="570"/>
      <c r="BS7" s="570"/>
      <c r="BT7" s="570"/>
    </row>
    <row r="8" spans="2:72" ht="16.5" customHeight="1" thickBot="1">
      <c r="B8" s="1382"/>
      <c r="C8" s="1383"/>
      <c r="D8" s="1201"/>
      <c r="E8" s="1387"/>
      <c r="F8" s="1202" t="s">
        <v>28</v>
      </c>
      <c r="G8" s="1203" t="s">
        <v>29</v>
      </c>
      <c r="H8" s="1204" t="s">
        <v>275</v>
      </c>
      <c r="I8" s="1205" t="s">
        <v>276</v>
      </c>
      <c r="J8" s="1206" t="s">
        <v>277</v>
      </c>
      <c r="K8" s="1207" t="s">
        <v>278</v>
      </c>
      <c r="L8" s="1376"/>
      <c r="M8" s="1379"/>
      <c r="O8" s="1437"/>
      <c r="P8" s="1437"/>
      <c r="R8" s="1415"/>
      <c r="S8" s="1431"/>
      <c r="T8" s="1433"/>
      <c r="U8" s="1133" t="s">
        <v>28</v>
      </c>
      <c r="V8" s="1133" t="s">
        <v>29</v>
      </c>
      <c r="W8" s="1134" t="s">
        <v>30</v>
      </c>
      <c r="X8" s="1135" t="s">
        <v>31</v>
      </c>
      <c r="Y8" s="1134" t="s">
        <v>32</v>
      </c>
      <c r="Z8" s="1136" t="s">
        <v>33</v>
      </c>
      <c r="AA8" s="1137" t="s">
        <v>34</v>
      </c>
      <c r="AB8" s="1138" t="s">
        <v>64</v>
      </c>
      <c r="AC8" s="1139" t="s">
        <v>65</v>
      </c>
      <c r="AD8" s="1131"/>
      <c r="AE8" s="1420"/>
      <c r="AF8" s="1420"/>
      <c r="AG8" s="1420"/>
      <c r="AH8" s="46"/>
      <c r="AI8" s="33"/>
      <c r="AJ8" s="902" t="s">
        <v>64</v>
      </c>
      <c r="AK8" s="641" t="s">
        <v>65</v>
      </c>
      <c r="AL8" s="61"/>
      <c r="AO8" s="391"/>
      <c r="AP8" s="391"/>
      <c r="AQ8" s="391"/>
      <c r="AR8" s="391"/>
      <c r="AS8" s="391"/>
      <c r="AT8" s="391"/>
      <c r="AU8" s="391"/>
      <c r="AV8" s="391"/>
      <c r="BG8" s="391"/>
      <c r="BI8" s="391"/>
      <c r="BJ8" s="391"/>
      <c r="BK8" s="391"/>
      <c r="BL8" s="391"/>
      <c r="BM8" s="391"/>
      <c r="BN8" s="391"/>
      <c r="BO8" s="391"/>
      <c r="BP8" s="391"/>
      <c r="BQ8" s="391"/>
      <c r="BR8" s="570"/>
      <c r="BS8" s="570"/>
      <c r="BT8" s="792"/>
    </row>
    <row r="9" spans="2:72" ht="15.75" customHeight="1" thickBot="1">
      <c r="B9" s="1193" t="s">
        <v>36</v>
      </c>
      <c r="C9" s="1388" t="s">
        <v>37</v>
      </c>
      <c r="D9" s="534" t="s">
        <v>38</v>
      </c>
      <c r="E9" s="897"/>
      <c r="F9" s="548">
        <v>3</v>
      </c>
      <c r="G9" s="431">
        <v>3</v>
      </c>
      <c r="H9" s="558"/>
      <c r="I9" s="559"/>
      <c r="J9" s="559"/>
      <c r="K9" s="560"/>
      <c r="L9" s="370">
        <f>IF($D9&lt;&gt;"",COUNT($H9:$K9)-COUNTIF(H9:K9,"0"),IF(AND($D9="",COUNT(F9:K9)&gt;0),"?",""))</f>
        <v>0</v>
      </c>
      <c r="M9" s="43">
        <f>IF(D9="","",IF(OR(E9="",E9&gt;2),(COUNT(F9:K9)-COUNTIF(H9:K9,"0"))*3/2,3+COUNT(H9:K9)*5/2))</f>
        <v>3</v>
      </c>
      <c r="O9" s="46"/>
      <c r="P9" s="46"/>
      <c r="R9" s="1398" t="s">
        <v>37</v>
      </c>
      <c r="S9" s="1140" t="str">
        <f aca="true" t="shared" si="0" ref="S9:S31">IF(D9="","",D9)</f>
        <v>D</v>
      </c>
      <c r="T9" s="1141">
        <f aca="true" t="shared" si="1" ref="T9:T31">IF(E9="","",E9)</f>
      </c>
      <c r="U9" s="869">
        <f aca="true" t="shared" si="2" ref="U9:U31">IF(F9="","",F9)</f>
        <v>3</v>
      </c>
      <c r="V9" s="873">
        <f aca="true" t="shared" si="3" ref="V9:V31">IF(G9="","",G9)</f>
        <v>3</v>
      </c>
      <c r="W9" s="1127">
        <f>IF('Punkte-Berechnung'!GA10="","",'Punkte-Berechnung'!GA10)</f>
      </c>
      <c r="X9" s="1127">
        <f>IF('Punkte-Berechnung'!GB10="","",'Punkte-Berechnung'!GB10)</f>
      </c>
      <c r="Y9" s="1127">
        <f>IF('Punkte-Berechnung'!GC10="","",'Punkte-Berechnung'!GC10)</f>
      </c>
      <c r="Z9" s="1142">
        <f>IF('Punkte-Berechnung'!GD10="","",'Punkte-Berechnung'!GD10)</f>
      </c>
      <c r="AA9" s="50">
        <f>IF(OR($D9="",COUNT(H9:K9)=0),"",COUNT($H9:$K9))</f>
      </c>
      <c r="AB9" s="69">
        <f>IF(OR(E9=1,E9=2,S9="",AA9="",AA9=0),"",SUM(W9:Z9))</f>
      </c>
      <c r="AC9" s="70">
        <f aca="true" t="shared" si="4" ref="AC9:AC16">IF(AND(OR(E9=1,E9=2),AA9&lt;&gt;"",AA9&lt;&gt;0),2*SUM(W9:Z9),"")</f>
      </c>
      <c r="AD9" s="1131"/>
      <c r="AE9" s="1393">
        <f>IF(L39&lt;27,"",IF(L39&lt;34,"Weitere Kurse eingeben!",""))</f>
      </c>
      <c r="AF9" s="1393"/>
      <c r="AG9" s="1393"/>
      <c r="AH9" s="46"/>
      <c r="AI9" s="33"/>
      <c r="AJ9" s="903">
        <f aca="true" t="shared" si="5" ref="AJ9:AJ31">IF(AND(E9&lt;&gt;1,E9&lt;&gt;2,D9&lt;&gt;0),COUNTIF(W9:Z9,"&lt;5"),"0")</f>
        <v>0</v>
      </c>
      <c r="AK9" s="641" t="str">
        <f aca="true" t="shared" si="6" ref="AK9:AK31">IF(AND(OR(E9=1,E9=2),D9&lt;&gt;0),COUNTIF(W9:Z9,"&lt;5"),"0")</f>
        <v>0</v>
      </c>
      <c r="AL9" s="61"/>
      <c r="AO9" s="587"/>
      <c r="AP9" s="587"/>
      <c r="AQ9" s="587"/>
      <c r="AR9" s="587"/>
      <c r="AS9" s="588"/>
      <c r="AT9" s="391"/>
      <c r="AU9" s="589"/>
      <c r="AV9" s="391"/>
      <c r="AW9" s="407"/>
      <c r="AX9" s="407"/>
      <c r="AY9" s="407"/>
      <c r="AZ9" s="407"/>
      <c r="BG9" s="391"/>
      <c r="BI9" s="391"/>
      <c r="BJ9" s="391"/>
      <c r="BK9" s="391"/>
      <c r="BL9" s="391"/>
      <c r="BM9" s="888">
        <f>'Punkte-Berechnung'!EO10</f>
      </c>
      <c r="BN9" s="888">
        <f>'Punkte-Berechnung'!EP10</f>
      </c>
      <c r="BO9" s="888">
        <f>'Punkte-Berechnung'!EQ10</f>
      </c>
      <c r="BP9" s="888">
        <f>'Punkte-Berechnung'!ER10</f>
      </c>
      <c r="BQ9" s="391"/>
      <c r="BR9" s="1225">
        <f>COUNTIF(BM9:BP9,"0")</f>
        <v>0</v>
      </c>
      <c r="BS9" s="570"/>
      <c r="BT9" s="792"/>
    </row>
    <row r="10" spans="2:72" ht="16.5" thickBot="1">
      <c r="B10" s="1194"/>
      <c r="C10" s="1388"/>
      <c r="D10" s="541" t="s">
        <v>20</v>
      </c>
      <c r="E10" s="897"/>
      <c r="F10" s="1219">
        <f>IF(RIGHT(D10,1)="0",VALUE(4),IF(D10&lt;&gt;"",VALUE(3),""))</f>
        <v>3</v>
      </c>
      <c r="G10" s="431">
        <v>3</v>
      </c>
      <c r="H10" s="559"/>
      <c r="I10" s="559"/>
      <c r="J10" s="559"/>
      <c r="K10" s="560"/>
      <c r="L10" s="370">
        <f>IF($D10&lt;&gt;"",COUNT($H10:$K10)-COUNTIF(H10:K10,"0"),IF(AND($D10="",COUNT(F10:K10)&gt;0),"?",""))</f>
        <v>0</v>
      </c>
      <c r="M10" s="45">
        <f>IF(D10="","",IF(RIGHT(D10,1)="0",(COUNT(F10:K10)-COUNTIF(H10:K10,"0"))*4/2,IF(OR(E10="",E10&gt;2),(COUNT(F10:K10)-COUNTIF(H10:K10,"0"))*3/2,3+COUNT(H10:K10)*5/2)))</f>
        <v>3</v>
      </c>
      <c r="O10" s="1367"/>
      <c r="P10" s="1367"/>
      <c r="R10" s="1398"/>
      <c r="S10" s="1143" t="str">
        <f t="shared" si="0"/>
        <v>E</v>
      </c>
      <c r="T10" s="536">
        <f t="shared" si="1"/>
      </c>
      <c r="U10" s="870">
        <f t="shared" si="2"/>
        <v>3</v>
      </c>
      <c r="V10" s="874">
        <f t="shared" si="3"/>
        <v>3</v>
      </c>
      <c r="W10" s="1144">
        <f>IF('Punkte-Berechnung'!HG11="","",'Punkte-Berechnung'!HG11)</f>
      </c>
      <c r="X10" s="1144">
        <f>IF('Punkte-Berechnung'!HH11="","",'Punkte-Berechnung'!HH11)</f>
      </c>
      <c r="Y10" s="1144">
        <f>IF('Punkte-Berechnung'!HI11="","",'Punkte-Berechnung'!HI11)</f>
      </c>
      <c r="Z10" s="1145">
        <f>IF('Punkte-Berechnung'!HJ11="","",'Punkte-Berechnung'!HJ11)</f>
      </c>
      <c r="AA10" s="50">
        <f>IF(OR($D10="",COUNT(H10:K10)=0),"",COUNT($H10:$K10))</f>
      </c>
      <c r="AB10" s="69">
        <f>IF(OR(E10=1,E10=2,S10="",AA10="",AA10=0),"",SUM(W10:Z10))</f>
      </c>
      <c r="AC10" s="70">
        <f t="shared" si="4"/>
      </c>
      <c r="AD10" s="1131"/>
      <c r="AE10" s="1393"/>
      <c r="AF10" s="1393"/>
      <c r="AG10" s="1393"/>
      <c r="AH10" s="46"/>
      <c r="AI10" s="33"/>
      <c r="AJ10" s="903">
        <f t="shared" si="5"/>
        <v>0</v>
      </c>
      <c r="AK10" s="641" t="str">
        <f t="shared" si="6"/>
        <v>0</v>
      </c>
      <c r="AL10" s="61"/>
      <c r="AO10" s="579"/>
      <c r="AP10" s="579"/>
      <c r="AQ10" s="579"/>
      <c r="AR10" s="579"/>
      <c r="AS10" s="588"/>
      <c r="AT10" s="391"/>
      <c r="AU10" s="589"/>
      <c r="AV10" s="391"/>
      <c r="AW10" s="327"/>
      <c r="AX10" s="327"/>
      <c r="AY10" s="327"/>
      <c r="AZ10" s="327"/>
      <c r="BA10" s="593"/>
      <c r="BB10" s="327"/>
      <c r="BC10" s="327"/>
      <c r="BD10" s="327"/>
      <c r="BE10" s="327"/>
      <c r="BG10" s="391"/>
      <c r="BI10" s="393"/>
      <c r="BJ10" s="393"/>
      <c r="BK10" s="393"/>
      <c r="BL10" s="393"/>
      <c r="BM10" s="888">
        <f>'Punkte-Berechnung'!EO11</f>
      </c>
      <c r="BN10" s="888">
        <f>'Punkte-Berechnung'!EP11</f>
      </c>
      <c r="BO10" s="888">
        <f>'Punkte-Berechnung'!EQ11</f>
      </c>
      <c r="BP10" s="888">
        <f>'Punkte-Berechnung'!ER11</f>
      </c>
      <c r="BQ10" s="393"/>
      <c r="BR10" s="1225">
        <f aca="true" t="shared" si="7" ref="BR10:BR31">COUNTIF(BM10:BP10,"0")</f>
        <v>0</v>
      </c>
      <c r="BS10" s="393"/>
      <c r="BT10" s="391"/>
    </row>
    <row r="11" spans="2:72" ht="16.5" thickBot="1">
      <c r="B11" s="1195"/>
      <c r="C11" s="1388"/>
      <c r="D11" s="541" t="s">
        <v>39</v>
      </c>
      <c r="E11" s="897" t="s">
        <v>506</v>
      </c>
      <c r="F11" s="1219">
        <f>IF(RIGHT(D11,1)="0",VALUE(4),IF(D11&lt;&gt;"",VALUE(3),""))</f>
        <v>4</v>
      </c>
      <c r="G11" s="432">
        <v>4</v>
      </c>
      <c r="H11" s="358"/>
      <c r="I11" s="359"/>
      <c r="J11" s="359"/>
      <c r="K11" s="360"/>
      <c r="L11" s="370">
        <f>IF($D11&lt;&gt;"",COUNT($H11:$K11)-COUNTIF(H11:K11,"0"),IF(AND($D11="",COUNT(F11:K11)&gt;0),"?",""))</f>
        <v>0</v>
      </c>
      <c r="M11" s="45">
        <f>IF(D11="","",IF(RIGHT(D11,1)="0",(COUNT(F11:K11)-COUNTIF(H11:K11,"0"))*4/2,IF(OR(E11="",E11&gt;2),(COUNT(F11:K11)-COUNTIF(H11:K11,"0"))*3/2,3+COUNT(H11:K11)*5/2)))</f>
        <v>4</v>
      </c>
      <c r="O11" s="1389"/>
      <c r="P11" s="1389"/>
      <c r="R11" s="1398"/>
      <c r="S11" s="1143" t="str">
        <f t="shared" si="0"/>
        <v>S0</v>
      </c>
      <c r="T11" s="536">
        <f t="shared" si="1"/>
      </c>
      <c r="U11" s="870">
        <f t="shared" si="2"/>
        <v>4</v>
      </c>
      <c r="V11" s="874">
        <f t="shared" si="3"/>
        <v>4</v>
      </c>
      <c r="W11" s="1144">
        <f>IF('Punkte-Berechnung'!HG12="","",'Punkte-Berechnung'!HG12)</f>
      </c>
      <c r="X11" s="1144">
        <f>IF('Punkte-Berechnung'!HH12="","",'Punkte-Berechnung'!HH12)</f>
      </c>
      <c r="Y11" s="1144">
        <f>IF('Punkte-Berechnung'!HI12="","",'Punkte-Berechnung'!HI12)</f>
      </c>
      <c r="Z11" s="1145">
        <f>IF('Punkte-Berechnung'!HJ12="","",'Punkte-Berechnung'!HJ12)</f>
      </c>
      <c r="AA11" s="50">
        <f>IF(OR($D11="",COUNT(H11:K11)=0),"",COUNT($H11:$K11))</f>
      </c>
      <c r="AB11" s="69">
        <f>IF(OR(E11=1,E11=2,S11="",AA11="",AA11=0),"",SUM(W11:Z11))</f>
      </c>
      <c r="AC11" s="70">
        <f t="shared" si="4"/>
      </c>
      <c r="AD11" s="1131"/>
      <c r="AE11" s="1392" t="str">
        <f>IF(Belegkontrolle!N10="F","kein Fach, aber Stunden/Punkte?",IF(ISNA(Belegkontrolle!B12)=FALSE(),VLOOKUP(Belegkontrolle!B12,Fehler!B3:E65,2,FALSE()),""))</f>
        <v>Ein 1. und ein 2. Abiturfach in der Spalte 'Abiturfach' eingeben!</v>
      </c>
      <c r="AF11" s="1392"/>
      <c r="AG11" s="1392"/>
      <c r="AH11" s="46"/>
      <c r="AI11" s="33"/>
      <c r="AJ11" s="903">
        <f t="shared" si="5"/>
        <v>0</v>
      </c>
      <c r="AK11" s="641" t="str">
        <f t="shared" si="6"/>
        <v>0</v>
      </c>
      <c r="AL11" s="61"/>
      <c r="AO11" s="579"/>
      <c r="AP11" s="579"/>
      <c r="AQ11" s="579"/>
      <c r="AR11" s="579"/>
      <c r="AS11" s="588"/>
      <c r="AT11" s="391"/>
      <c r="AU11" s="589"/>
      <c r="AV11" s="391"/>
      <c r="AW11" s="327"/>
      <c r="AX11" s="327"/>
      <c r="AY11" s="327"/>
      <c r="AZ11" s="327"/>
      <c r="BA11" s="593"/>
      <c r="BB11" s="327"/>
      <c r="BC11" s="327"/>
      <c r="BD11" s="327"/>
      <c r="BE11" s="327"/>
      <c r="BG11" s="391"/>
      <c r="BI11" s="393"/>
      <c r="BJ11" s="393"/>
      <c r="BK11" s="393"/>
      <c r="BL11" s="393"/>
      <c r="BM11" s="888">
        <f>'Punkte-Berechnung'!EO12</f>
      </c>
      <c r="BN11" s="888">
        <f>'Punkte-Berechnung'!EP12</f>
      </c>
      <c r="BO11" s="888">
        <f>'Punkte-Berechnung'!EQ12</f>
      </c>
      <c r="BP11" s="888">
        <f>'Punkte-Berechnung'!ER12</f>
      </c>
      <c r="BQ11" s="393"/>
      <c r="BR11" s="1225">
        <f t="shared" si="7"/>
        <v>0</v>
      </c>
      <c r="BS11" s="393"/>
      <c r="BT11" s="391"/>
    </row>
    <row r="12" spans="2:72" ht="16.5" thickBot="1">
      <c r="B12" s="1195"/>
      <c r="C12" s="1388"/>
      <c r="D12" s="541" t="s">
        <v>506</v>
      </c>
      <c r="E12" s="897" t="s">
        <v>506</v>
      </c>
      <c r="F12" s="1219">
        <f>IF(RIGHT(D12,1)="0",VALUE(4),IF(D12&lt;&gt;"",VALUE(3),""))</f>
      </c>
      <c r="G12" s="433" t="s">
        <v>506</v>
      </c>
      <c r="H12" s="356" t="s">
        <v>506</v>
      </c>
      <c r="I12" s="356" t="s">
        <v>506</v>
      </c>
      <c r="J12" s="356"/>
      <c r="K12" s="357" t="s">
        <v>506</v>
      </c>
      <c r="L12" s="370">
        <f>IF($D12&lt;&gt;"",COUNT($H12:$K12)-COUNTIF(H12:K12,"0"),IF(AND($D12="",COUNT(F12:K12)&gt;0),"?",""))</f>
      </c>
      <c r="M12" s="45">
        <f>IF(D12="","",IF(RIGHT(D12,1)="0",(COUNT(F12:K12)-COUNTIF(H12:K12,"0"))*4/2,IF(OR(E12="",E12&gt;2),(COUNT(F12:K12)-COUNTIF(H12:K12,"0"))*3/2,3+COUNT(H12:K12)*5/2)))</f>
      </c>
      <c r="O12" s="1389"/>
      <c r="P12" s="1389"/>
      <c r="R12" s="1398"/>
      <c r="S12" s="1143">
        <f t="shared" si="0"/>
      </c>
      <c r="T12" s="536">
        <f t="shared" si="1"/>
      </c>
      <c r="U12" s="870">
        <f t="shared" si="2"/>
      </c>
      <c r="V12" s="874">
        <f t="shared" si="3"/>
      </c>
      <c r="W12" s="1144">
        <f>IF('Punkte-Berechnung'!HG13="","",'Punkte-Berechnung'!HG13)</f>
      </c>
      <c r="X12" s="1144">
        <f>IF('Punkte-Berechnung'!HH13="","",'Punkte-Berechnung'!HH13)</f>
      </c>
      <c r="Y12" s="1144">
        <f>IF('Punkte-Berechnung'!HI13="","",'Punkte-Berechnung'!HI13)</f>
      </c>
      <c r="Z12" s="1145">
        <f>IF('Punkte-Berechnung'!HJ13="","",'Punkte-Berechnung'!HJ13)</f>
      </c>
      <c r="AA12" s="50">
        <f>IF(OR($D12="",COUNT(H12:K12)=0),"",COUNT($H12:$K12))</f>
      </c>
      <c r="AB12" s="69">
        <f>IF(OR(E12=1,E12=2,S12="",AA12="",AA12=0),"",SUM(W12:Z12))</f>
      </c>
      <c r="AC12" s="70">
        <f t="shared" si="4"/>
      </c>
      <c r="AD12" s="1131"/>
      <c r="AE12" s="1392"/>
      <c r="AF12" s="1392"/>
      <c r="AG12" s="1392"/>
      <c r="AH12" s="46"/>
      <c r="AI12" s="33"/>
      <c r="AJ12" s="903">
        <f t="shared" si="5"/>
        <v>0</v>
      </c>
      <c r="AK12" s="641" t="str">
        <f t="shared" si="6"/>
        <v>0</v>
      </c>
      <c r="AL12" s="61"/>
      <c r="AO12" s="579"/>
      <c r="AP12" s="579"/>
      <c r="AQ12" s="579"/>
      <c r="AR12" s="579"/>
      <c r="AS12" s="588"/>
      <c r="AT12" s="391"/>
      <c r="AU12" s="589"/>
      <c r="AV12" s="391"/>
      <c r="AW12" s="327"/>
      <c r="AX12" s="327"/>
      <c r="AY12" s="327"/>
      <c r="AZ12" s="327"/>
      <c r="BA12" s="593"/>
      <c r="BB12" s="327"/>
      <c r="BC12" s="327"/>
      <c r="BD12" s="327"/>
      <c r="BE12" s="327"/>
      <c r="BG12" s="391"/>
      <c r="BI12" s="393"/>
      <c r="BJ12" s="393"/>
      <c r="BK12" s="393"/>
      <c r="BL12" s="393"/>
      <c r="BM12" s="888">
        <f>'Punkte-Berechnung'!EO13</f>
      </c>
      <c r="BN12" s="888">
        <f>'Punkte-Berechnung'!EP13</f>
      </c>
      <c r="BO12" s="888">
        <f>'Punkte-Berechnung'!EQ13</f>
      </c>
      <c r="BP12" s="888">
        <f>'Punkte-Berechnung'!ER13</f>
      </c>
      <c r="BQ12" s="393"/>
      <c r="BR12" s="1225">
        <f t="shared" si="7"/>
        <v>0</v>
      </c>
      <c r="BS12" s="393"/>
      <c r="BT12" s="391"/>
    </row>
    <row r="13" spans="2:72" ht="15">
      <c r="B13" s="1195"/>
      <c r="C13" s="1388"/>
      <c r="D13" s="542"/>
      <c r="E13" s="898"/>
      <c r="F13" s="549">
        <f>IF(D13&lt;&gt;"",VALUE(3),"")</f>
      </c>
      <c r="G13" s="434"/>
      <c r="H13" s="368"/>
      <c r="I13" s="369"/>
      <c r="J13" s="369"/>
      <c r="K13" s="904"/>
      <c r="L13" s="385">
        <f>IF(AND($D13="",COUNT(F13:K13)&gt;0),"?","")</f>
      </c>
      <c r="M13" s="268">
        <f aca="true" t="shared" si="8" ref="M13:M27">IF(D13="","",IF(OR(E13="",E13&gt;2),(COUNT(F13:K13)-COUNTIF(H13:K13,"0"))*3/2,3+COUNT(H13:K13)*5/2))</f>
      </c>
      <c r="O13" s="46"/>
      <c r="P13" s="46"/>
      <c r="R13" s="1398"/>
      <c r="S13" s="1146">
        <f t="shared" si="0"/>
      </c>
      <c r="T13" s="537">
        <f t="shared" si="1"/>
      </c>
      <c r="U13" s="867">
        <f t="shared" si="2"/>
      </c>
      <c r="V13" s="875">
        <f t="shared" si="3"/>
      </c>
      <c r="W13" s="1147"/>
      <c r="X13" s="1148"/>
      <c r="Y13" s="1148"/>
      <c r="Z13" s="1149"/>
      <c r="AA13" s="256"/>
      <c r="AB13" s="420"/>
      <c r="AC13" s="494">
        <f t="shared" si="4"/>
      </c>
      <c r="AD13" s="1131"/>
      <c r="AE13" s="1392"/>
      <c r="AF13" s="1392"/>
      <c r="AG13" s="1392"/>
      <c r="AH13" s="46"/>
      <c r="AI13" s="33"/>
      <c r="AJ13" s="903" t="str">
        <f t="shared" si="5"/>
        <v>0</v>
      </c>
      <c r="AK13" s="641" t="str">
        <f t="shared" si="6"/>
        <v>0</v>
      </c>
      <c r="AL13" s="61"/>
      <c r="AO13" s="590"/>
      <c r="AP13" s="590"/>
      <c r="AQ13" s="590"/>
      <c r="AR13" s="590"/>
      <c r="AS13" s="588"/>
      <c r="AT13" s="391"/>
      <c r="AU13" s="589"/>
      <c r="AV13" s="391"/>
      <c r="AW13" s="327"/>
      <c r="AX13" s="288"/>
      <c r="AY13" s="288"/>
      <c r="AZ13" s="288"/>
      <c r="BA13" s="288"/>
      <c r="BB13" s="288"/>
      <c r="BC13" s="288"/>
      <c r="BD13" s="288"/>
      <c r="BE13" s="288"/>
      <c r="BG13" s="391"/>
      <c r="BI13" s="391"/>
      <c r="BJ13" s="391"/>
      <c r="BK13" s="391"/>
      <c r="BL13" s="391"/>
      <c r="BM13" s="888"/>
      <c r="BN13" s="888"/>
      <c r="BO13" s="888"/>
      <c r="BP13" s="888"/>
      <c r="BQ13" s="391"/>
      <c r="BR13" s="1225">
        <f t="shared" si="7"/>
        <v>0</v>
      </c>
      <c r="BS13" s="570"/>
      <c r="BT13" s="570"/>
    </row>
    <row r="14" spans="2:72" ht="15" customHeight="1">
      <c r="B14" s="1195"/>
      <c r="C14" s="1390" t="s">
        <v>41</v>
      </c>
      <c r="D14" s="541" t="s">
        <v>40</v>
      </c>
      <c r="E14" s="897" t="s">
        <v>506</v>
      </c>
      <c r="F14" s="548">
        <f>IF(OR(D14="KU",D14="MU"),VALUE(3),"")</f>
        <v>3</v>
      </c>
      <c r="G14" s="435">
        <v>3</v>
      </c>
      <c r="H14" s="1228"/>
      <c r="I14" s="1228"/>
      <c r="J14" s="364"/>
      <c r="K14" s="365"/>
      <c r="L14" s="405">
        <f>IF(AND($D14="IV",COUNT($H14:$K14)&gt;2),2,IF($D14&lt;&gt;"",COUNT(H14:K14),IF(AND($D14="",COUNT(F14:K14)&gt;0),"?","")))</f>
        <v>0</v>
      </c>
      <c r="M14" s="43">
        <f t="shared" si="8"/>
        <v>3</v>
      </c>
      <c r="O14" s="46"/>
      <c r="P14" s="46"/>
      <c r="R14" s="1416" t="s">
        <v>41</v>
      </c>
      <c r="S14" s="1150" t="str">
        <f t="shared" si="0"/>
        <v>KU</v>
      </c>
      <c r="T14" s="1151">
        <f t="shared" si="1"/>
      </c>
      <c r="U14" s="489">
        <f t="shared" si="2"/>
        <v>3</v>
      </c>
      <c r="V14" s="876">
        <f t="shared" si="3"/>
        <v>3</v>
      </c>
      <c r="W14" s="1144">
        <f>IF('Punkte-Berechnung'!HG15="","",'Punkte-Berechnung'!HG15)</f>
      </c>
      <c r="X14" s="1144">
        <f>IF('Punkte-Berechnung'!HH15="","",'Punkte-Berechnung'!HH15)</f>
      </c>
      <c r="Y14" s="1144">
        <f>IF('Punkte-Berechnung'!HI15="","",'Punkte-Berechnung'!HI15)</f>
      </c>
      <c r="Z14" s="1145">
        <f>IF('Punkte-Berechnung'!HJ15="","",'Punkte-Berechnung'!HJ15)</f>
      </c>
      <c r="AA14" s="50">
        <f>IF(COUNT(H14:K14)=0,"",IF(AND($D14="IV",COUNT($H14:$K14)&gt;2),2,IF($D14&lt;&gt;"",COUNT($H$14:$K$14),IF(AND($D14="",COUNT($H14:$K14)&gt;0),"?",""))))</f>
      </c>
      <c r="AB14" s="69">
        <f>IF(OR(E14=1,E14=2,S14="",AA14="",AA14=0),"",SUM(W14:Z14))</f>
      </c>
      <c r="AC14" s="70">
        <f t="shared" si="4"/>
      </c>
      <c r="AD14" s="1131"/>
      <c r="AE14" s="1392"/>
      <c r="AF14" s="1392"/>
      <c r="AG14" s="1392"/>
      <c r="AH14" s="46"/>
      <c r="AI14" s="33"/>
      <c r="AJ14" s="903">
        <f t="shared" si="5"/>
        <v>0</v>
      </c>
      <c r="AK14" s="641" t="str">
        <f t="shared" si="6"/>
        <v>0</v>
      </c>
      <c r="AL14" s="61"/>
      <c r="AO14" s="579"/>
      <c r="AP14" s="579"/>
      <c r="AQ14" s="579"/>
      <c r="AR14" s="579"/>
      <c r="AS14" s="588"/>
      <c r="AT14" s="391"/>
      <c r="AU14" s="589"/>
      <c r="AV14" s="391"/>
      <c r="AW14" s="327"/>
      <c r="AX14" s="327"/>
      <c r="AY14" s="327"/>
      <c r="AZ14" s="327"/>
      <c r="BA14" s="288"/>
      <c r="BB14" s="594"/>
      <c r="BC14" s="594"/>
      <c r="BD14" s="594"/>
      <c r="BE14" s="594"/>
      <c r="BG14" s="391"/>
      <c r="BI14" s="391"/>
      <c r="BJ14" s="391"/>
      <c r="BK14" s="391"/>
      <c r="BL14" s="391"/>
      <c r="BM14" s="888">
        <f>'Punkte-Berechnung'!EO15</f>
      </c>
      <c r="BN14" s="888">
        <f>'Punkte-Berechnung'!EP15</f>
      </c>
      <c r="BO14" s="888">
        <f>'Punkte-Berechnung'!EQ15</f>
      </c>
      <c r="BP14" s="888">
        <f>'Punkte-Berechnung'!ER15</f>
      </c>
      <c r="BQ14" s="391"/>
      <c r="BR14" s="1225">
        <f t="shared" si="7"/>
        <v>0</v>
      </c>
      <c r="BS14" s="570"/>
      <c r="BT14" s="570"/>
    </row>
    <row r="15" spans="2:72" ht="15">
      <c r="B15" s="1195"/>
      <c r="C15" s="1390"/>
      <c r="D15" s="541"/>
      <c r="E15" s="897" t="s">
        <v>506</v>
      </c>
      <c r="F15" s="548">
        <f>IF(OR(D15="KU",D15="MU"),VALUE(3),"")</f>
      </c>
      <c r="G15" s="435" t="s">
        <v>506</v>
      </c>
      <c r="H15" s="356"/>
      <c r="I15" s="356"/>
      <c r="J15" s="356" t="s">
        <v>506</v>
      </c>
      <c r="K15" s="357" t="s">
        <v>506</v>
      </c>
      <c r="L15" s="405">
        <f>IF(AND($D15="IV",COUNT($H15:$K15)&gt;2),2,IF($D15&lt;&gt;"",COUNT(H15:K15),IF(AND($D15="",COUNT(F15:K15)&gt;0),"?","")))</f>
      </c>
      <c r="M15" s="43">
        <f t="shared" si="8"/>
      </c>
      <c r="O15" s="46"/>
      <c r="P15" s="46"/>
      <c r="R15" s="1416"/>
      <c r="S15" s="1143">
        <f t="shared" si="0"/>
      </c>
      <c r="T15" s="536">
        <f t="shared" si="1"/>
      </c>
      <c r="U15" s="351">
        <f t="shared" si="2"/>
      </c>
      <c r="V15" s="877">
        <f t="shared" si="3"/>
      </c>
      <c r="W15" s="1144">
        <f>IF('Punkte-Berechnung'!HG16="","",'Punkte-Berechnung'!HG16)</f>
      </c>
      <c r="X15" s="1144">
        <f>IF('Punkte-Berechnung'!HH16="","",'Punkte-Berechnung'!HH16)</f>
      </c>
      <c r="Y15" s="1144">
        <f>IF('Punkte-Berechnung'!HI16="","",'Punkte-Berechnung'!HI16)</f>
      </c>
      <c r="Z15" s="1145">
        <f>IF('Punkte-Berechnung'!HJ16="","",'Punkte-Berechnung'!HJ16)</f>
      </c>
      <c r="AA15" s="50">
        <f>IF(COUNT(H15:K15)=0,"",IF(AND(OR($D15="IV",$D15="IV CO",$D15="LI"),COUNT($H15:$K15)&gt;=2),2,IF($D15&lt;&gt;"",COUNT($H$14:$K$14),IF(AND($D15="",COUNT($H15:$K15)&gt;0),"?",""))))</f>
      </c>
      <c r="AB15" s="69">
        <f>IF(OR(E15=1,E15=2,S15="",AA15="",AA15=0),"",SUM(W15:Z15))</f>
      </c>
      <c r="AC15" s="70">
        <f t="shared" si="4"/>
      </c>
      <c r="AD15" s="1131"/>
      <c r="AE15" s="1392"/>
      <c r="AF15" s="1392"/>
      <c r="AG15" s="1392"/>
      <c r="AH15" s="46"/>
      <c r="AI15" s="33"/>
      <c r="AJ15" s="903" t="str">
        <f t="shared" si="5"/>
        <v>0</v>
      </c>
      <c r="AK15" s="641" t="str">
        <f t="shared" si="6"/>
        <v>0</v>
      </c>
      <c r="AL15" s="61"/>
      <c r="AO15" s="579"/>
      <c r="AP15" s="579"/>
      <c r="AQ15" s="579"/>
      <c r="AR15" s="579"/>
      <c r="AS15" s="588"/>
      <c r="AT15" s="391"/>
      <c r="AU15" s="589"/>
      <c r="AV15" s="391"/>
      <c r="AW15" s="327"/>
      <c r="AX15" s="327"/>
      <c r="AY15" s="327"/>
      <c r="AZ15" s="327"/>
      <c r="BA15" s="288"/>
      <c r="BB15" s="594"/>
      <c r="BC15" s="594"/>
      <c r="BD15" s="594"/>
      <c r="BE15" s="594"/>
      <c r="BG15" s="391"/>
      <c r="BI15" s="391"/>
      <c r="BJ15" s="391"/>
      <c r="BK15" s="391"/>
      <c r="BL15" s="391"/>
      <c r="BM15" s="888">
        <f>'Punkte-Berechnung'!EO16</f>
      </c>
      <c r="BN15" s="888">
        <f>'Punkte-Berechnung'!EP16</f>
      </c>
      <c r="BO15" s="888">
        <f>'Punkte-Berechnung'!EQ16</f>
      </c>
      <c r="BP15" s="888">
        <f>'Punkte-Berechnung'!ER16</f>
      </c>
      <c r="BQ15" s="391"/>
      <c r="BR15" s="1225">
        <f t="shared" si="7"/>
        <v>0</v>
      </c>
      <c r="BS15" s="570"/>
      <c r="BT15" s="570"/>
    </row>
    <row r="16" spans="2:72" ht="15">
      <c r="B16" s="1196"/>
      <c r="C16" s="1390"/>
      <c r="D16" s="543" t="s">
        <v>506</v>
      </c>
      <c r="E16" s="898" t="s">
        <v>506</v>
      </c>
      <c r="F16" s="549">
        <f>IF(OR(D16="KU",D16="MU"),VALUE(3),"")</f>
      </c>
      <c r="G16" s="436" t="s">
        <v>506</v>
      </c>
      <c r="H16" s="361" t="s">
        <v>506</v>
      </c>
      <c r="I16" s="362" t="s">
        <v>506</v>
      </c>
      <c r="J16" s="362" t="s">
        <v>506</v>
      </c>
      <c r="K16" s="363" t="s">
        <v>506</v>
      </c>
      <c r="L16" s="385">
        <f>IF(AND($D16="IV",COUNT($H16:$K16)&gt;2),2,IF($D16&lt;&gt;"",COUNT(H16:K16),IF(AND($D16="",COUNT(F16:K16)&gt;0),"?","")))</f>
      </c>
      <c r="M16" s="267">
        <f t="shared" si="8"/>
      </c>
      <c r="O16" s="46"/>
      <c r="P16" s="46"/>
      <c r="R16" s="1416"/>
      <c r="S16" s="1146">
        <f t="shared" si="0"/>
      </c>
      <c r="T16" s="537">
        <f t="shared" si="1"/>
      </c>
      <c r="U16" s="868">
        <f t="shared" si="2"/>
      </c>
      <c r="V16" s="878">
        <f t="shared" si="3"/>
      </c>
      <c r="W16" s="1152">
        <f>IF('Punkte-Berechnung'!HG17="","",'Punkte-Berechnung'!HG17)</f>
      </c>
      <c r="X16" s="1147">
        <f>IF('Punkte-Berechnung'!HH17="","",'Punkte-Berechnung'!HH17)</f>
      </c>
      <c r="Y16" s="1147">
        <f>IF('Punkte-Berechnung'!HI17="","",'Punkte-Berechnung'!HI17)</f>
      </c>
      <c r="Z16" s="1149">
        <f>IF('Punkte-Berechnung'!HJ17="","",'Punkte-Berechnung'!HJ17)</f>
      </c>
      <c r="AA16" s="565">
        <f>IF(COUNT(H16:K16)=0,"",IF(AND(OR($D16="IV",$D16="IV CO",$D16="LI"),COUNT($H16:$K16)&gt;=2),2,IF($D16&lt;&gt;"",COUNT($H$14:$K$14),IF(AND($D16="",COUNT($H16:$K16)&gt;0),"?",""))))</f>
      </c>
      <c r="AB16" s="420">
        <f>IF(OR(E16=1,E16=2,S16="",AA16="",AA16=0),"",SUM(W16:Z16))</f>
      </c>
      <c r="AC16" s="494">
        <f t="shared" si="4"/>
      </c>
      <c r="AD16" s="46"/>
      <c r="AE16" s="1153"/>
      <c r="AF16" s="46"/>
      <c r="AG16" s="75"/>
      <c r="AH16" s="46"/>
      <c r="AI16" s="33"/>
      <c r="AJ16" s="903">
        <f t="shared" si="5"/>
        <v>0</v>
      </c>
      <c r="AK16" s="641" t="str">
        <f t="shared" si="6"/>
        <v>0</v>
      </c>
      <c r="AL16" s="61"/>
      <c r="AO16" s="579"/>
      <c r="AP16" s="579"/>
      <c r="AQ16" s="579"/>
      <c r="AR16" s="579"/>
      <c r="AS16" s="588"/>
      <c r="AT16" s="391"/>
      <c r="AU16" s="589"/>
      <c r="AV16" s="391"/>
      <c r="AW16" s="327"/>
      <c r="AX16" s="327"/>
      <c r="AY16" s="327"/>
      <c r="AZ16" s="327"/>
      <c r="BA16" s="288"/>
      <c r="BB16" s="594"/>
      <c r="BC16" s="594"/>
      <c r="BD16" s="594"/>
      <c r="BE16" s="594"/>
      <c r="BG16" s="391"/>
      <c r="BI16" s="391"/>
      <c r="BJ16" s="391"/>
      <c r="BK16" s="391"/>
      <c r="BL16" s="391"/>
      <c r="BM16" s="888">
        <f>'Punkte-Berechnung'!EO17</f>
      </c>
      <c r="BN16" s="888">
        <f>'Punkte-Berechnung'!EP17</f>
      </c>
      <c r="BO16" s="888">
        <f>'Punkte-Berechnung'!EQ17</f>
      </c>
      <c r="BP16" s="888">
        <f>'Punkte-Berechnung'!ER17</f>
      </c>
      <c r="BQ16" s="391"/>
      <c r="BR16" s="1225">
        <f t="shared" si="7"/>
        <v>0</v>
      </c>
      <c r="BS16" s="570"/>
      <c r="BT16" s="570"/>
    </row>
    <row r="17" spans="2:72" ht="14.25" customHeight="1">
      <c r="B17" s="1197" t="s">
        <v>44</v>
      </c>
      <c r="C17" s="1349" t="s">
        <v>45</v>
      </c>
      <c r="D17" s="541" t="s">
        <v>46</v>
      </c>
      <c r="E17" s="897"/>
      <c r="F17" s="548">
        <f>IF(D17&lt;&gt;"",VALUE(3),"")</f>
        <v>3</v>
      </c>
      <c r="G17" s="431">
        <v>3</v>
      </c>
      <c r="H17" s="561"/>
      <c r="I17" s="561"/>
      <c r="J17" s="561"/>
      <c r="K17" s="580"/>
      <c r="L17" s="371">
        <f>IF($D17&lt;&gt;"",COUNT($H17:$K17)-COUNTIF(H17:K17,"0"),IF(AND($D17="",COUNT(F17:K17)&gt;0),"?",""))</f>
        <v>0</v>
      </c>
      <c r="M17" s="43">
        <f t="shared" si="8"/>
        <v>3</v>
      </c>
      <c r="O17" s="46"/>
      <c r="P17" s="46"/>
      <c r="R17" s="1350" t="s">
        <v>45</v>
      </c>
      <c r="S17" s="1150" t="str">
        <f t="shared" si="0"/>
        <v>GE</v>
      </c>
      <c r="T17" s="1151">
        <f t="shared" si="1"/>
      </c>
      <c r="U17" s="871">
        <f t="shared" si="2"/>
        <v>3</v>
      </c>
      <c r="V17" s="879">
        <f t="shared" si="3"/>
        <v>3</v>
      </c>
      <c r="W17" s="1144">
        <f>IF('Punkte-Berechnung'!HG18="","",'Punkte-Berechnung'!HG18)</f>
      </c>
      <c r="X17" s="1144">
        <f>IF('Punkte-Berechnung'!HH18="","",'Punkte-Berechnung'!HH18)</f>
      </c>
      <c r="Y17" s="1144">
        <f>IF('Punkte-Berechnung'!HI18="","",'Punkte-Berechnung'!HI18)</f>
      </c>
      <c r="Z17" s="1145">
        <f>IF('Punkte-Berechnung'!HJ18="","",'Punkte-Berechnung'!HJ18)</f>
      </c>
      <c r="AA17" s="50">
        <f>IF(OR($D17="",COUNT(H17:K17)=0),"",COUNT($H17:$K17))</f>
      </c>
      <c r="AB17" s="69">
        <f>IF(OR(E17=1,E17=2,S17="",AA17=0,AA17=""),"",SUM(W17:Z17))</f>
      </c>
      <c r="AC17" s="70">
        <f>IF(AND(OR(E17=1,E17=2),AA17&lt;&gt;"",AA17&lt;&gt;0),2*SUM(W17:Z17),"")</f>
      </c>
      <c r="AD17" s="1131"/>
      <c r="AE17" s="1391" t="s">
        <v>69</v>
      </c>
      <c r="AF17" s="1391"/>
      <c r="AG17" s="387">
        <f>AB39</f>
      </c>
      <c r="AH17" s="46"/>
      <c r="AI17" s="33"/>
      <c r="AJ17" s="903">
        <f t="shared" si="5"/>
        <v>0</v>
      </c>
      <c r="AK17" s="641" t="str">
        <f t="shared" si="6"/>
        <v>0</v>
      </c>
      <c r="AL17" s="61"/>
      <c r="AO17" s="579"/>
      <c r="AP17" s="579"/>
      <c r="AQ17" s="579"/>
      <c r="AR17" s="579"/>
      <c r="AS17" s="588"/>
      <c r="AT17" s="391"/>
      <c r="AU17" s="589"/>
      <c r="AV17" s="391"/>
      <c r="AW17" s="327"/>
      <c r="AX17" s="327"/>
      <c r="AY17" s="327"/>
      <c r="AZ17" s="327"/>
      <c r="BA17" s="288"/>
      <c r="BB17" s="594"/>
      <c r="BC17" s="594"/>
      <c r="BD17" s="594"/>
      <c r="BE17" s="594"/>
      <c r="BG17" s="391"/>
      <c r="BI17" s="391"/>
      <c r="BJ17" s="391"/>
      <c r="BK17" s="391"/>
      <c r="BL17" s="391"/>
      <c r="BM17" s="888">
        <f>'Punkte-Berechnung'!EO18</f>
      </c>
      <c r="BN17" s="888">
        <f>'Punkte-Berechnung'!EP18</f>
      </c>
      <c r="BO17" s="888">
        <f>'Punkte-Berechnung'!EQ18</f>
      </c>
      <c r="BP17" s="888">
        <f>'Punkte-Berechnung'!ER18</f>
      </c>
      <c r="BQ17" s="391"/>
      <c r="BR17" s="1225">
        <f t="shared" si="7"/>
        <v>0</v>
      </c>
      <c r="BS17" s="570"/>
      <c r="BT17" s="570"/>
    </row>
    <row r="18" spans="2:72" ht="15">
      <c r="B18" s="1195"/>
      <c r="C18" s="1349"/>
      <c r="D18" s="541" t="s">
        <v>47</v>
      </c>
      <c r="E18" s="897"/>
      <c r="F18" s="548">
        <f>IF(D18&lt;&gt;"",VALUE(3),"")</f>
        <v>3</v>
      </c>
      <c r="G18" s="433">
        <v>3</v>
      </c>
      <c r="H18" s="356"/>
      <c r="I18" s="356"/>
      <c r="J18" s="356"/>
      <c r="K18" s="357"/>
      <c r="L18" s="370">
        <f>IF($D18&lt;&gt;"",COUNT($H18:$K18)-COUNTIF(H18:K18,"0"),IF(AND($D18="",COUNT(F18:K18)&gt;0),"?",""))</f>
        <v>0</v>
      </c>
      <c r="M18" s="43">
        <f t="shared" si="8"/>
        <v>3</v>
      </c>
      <c r="O18" s="46"/>
      <c r="P18" s="46"/>
      <c r="R18" s="1350"/>
      <c r="S18" s="1143" t="str">
        <f t="shared" si="0"/>
        <v>PA</v>
      </c>
      <c r="T18" s="536">
        <f t="shared" si="1"/>
      </c>
      <c r="U18" s="351">
        <f t="shared" si="2"/>
        <v>3</v>
      </c>
      <c r="V18" s="877">
        <f t="shared" si="3"/>
        <v>3</v>
      </c>
      <c r="W18" s="1144">
        <f>IF('Punkte-Berechnung'!HG19="","",'Punkte-Berechnung'!HG19)</f>
      </c>
      <c r="X18" s="1144">
        <f>IF('Punkte-Berechnung'!HH19="","",'Punkte-Berechnung'!HH19)</f>
      </c>
      <c r="Y18" s="1144">
        <f>IF('Punkte-Berechnung'!HI19="","",'Punkte-Berechnung'!HI19)</f>
      </c>
      <c r="Z18" s="1145">
        <f>IF('Punkte-Berechnung'!HJ19="","",'Punkte-Berechnung'!HJ19)</f>
      </c>
      <c r="AA18" s="50">
        <f>IF(OR($D18="",COUNT(H18:K18)=0),"",COUNT($H18:$K18))</f>
      </c>
      <c r="AB18" s="69">
        <f>IF(OR(E18=1,E18=2,S18="",AA18=0,AA18=""),"",SUM(W18:Z18))</f>
      </c>
      <c r="AC18" s="70">
        <f aca="true" t="shared" si="9" ref="AC18:AC30">IF(AND(OR(E18=1,E18=2),AA18&lt;&gt;"",AA18&lt;&gt;0),2*SUM(W18:Z18),"")</f>
      </c>
      <c r="AD18" s="1131"/>
      <c r="AE18" s="1154"/>
      <c r="AF18" s="1154"/>
      <c r="AG18" s="1154"/>
      <c r="AH18" s="46"/>
      <c r="AI18" s="33"/>
      <c r="AJ18" s="903">
        <f t="shared" si="5"/>
        <v>0</v>
      </c>
      <c r="AK18" s="641" t="str">
        <f t="shared" si="6"/>
        <v>0</v>
      </c>
      <c r="AL18" s="61"/>
      <c r="AO18" s="579"/>
      <c r="AP18" s="579"/>
      <c r="AQ18" s="579"/>
      <c r="AR18" s="579"/>
      <c r="AS18" s="588"/>
      <c r="AT18" s="391"/>
      <c r="AU18" s="589"/>
      <c r="AV18" s="391"/>
      <c r="AW18" s="327"/>
      <c r="AX18" s="327"/>
      <c r="AY18" s="327"/>
      <c r="AZ18" s="327"/>
      <c r="BA18" s="288"/>
      <c r="BB18" s="594"/>
      <c r="BC18" s="594"/>
      <c r="BD18" s="594"/>
      <c r="BE18" s="594"/>
      <c r="BG18" s="391"/>
      <c r="BI18" s="391"/>
      <c r="BJ18" s="391"/>
      <c r="BK18" s="391"/>
      <c r="BL18" s="391"/>
      <c r="BM18" s="888">
        <f>'Punkte-Berechnung'!EO19</f>
      </c>
      <c r="BN18" s="888">
        <f>'Punkte-Berechnung'!EP19</f>
      </c>
      <c r="BO18" s="888">
        <f>'Punkte-Berechnung'!EQ19</f>
      </c>
      <c r="BP18" s="888">
        <f>'Punkte-Berechnung'!ER19</f>
      </c>
      <c r="BQ18" s="391"/>
      <c r="BR18" s="1225">
        <f t="shared" si="7"/>
        <v>0</v>
      </c>
      <c r="BS18" s="570"/>
      <c r="BT18" s="570"/>
    </row>
    <row r="19" spans="2:72" ht="15" customHeight="1">
      <c r="B19" s="1195"/>
      <c r="C19" s="1349"/>
      <c r="D19" s="541"/>
      <c r="E19" s="897"/>
      <c r="F19" s="548">
        <f>IF(D19&lt;&gt;"",VALUE(3),"")</f>
      </c>
      <c r="G19" s="433"/>
      <c r="H19" s="356"/>
      <c r="I19" s="356"/>
      <c r="J19" s="356"/>
      <c r="K19" s="357"/>
      <c r="L19" s="370">
        <f>IF($D19&lt;&gt;"",COUNT($H19:$K19)-COUNTIF(H19:K19,"0"),IF(AND($D19="",COUNT(F19:K19)&gt;0),"?",""))</f>
      </c>
      <c r="M19" s="43">
        <f t="shared" si="8"/>
      </c>
      <c r="O19" s="46"/>
      <c r="P19" s="46"/>
      <c r="R19" s="1350"/>
      <c r="S19" s="1143">
        <f t="shared" si="0"/>
      </c>
      <c r="T19" s="536">
        <f t="shared" si="1"/>
      </c>
      <c r="U19" s="351">
        <f t="shared" si="2"/>
      </c>
      <c r="V19" s="877">
        <f t="shared" si="3"/>
      </c>
      <c r="W19" s="1144">
        <f>IF('Punkte-Berechnung'!HG20="","",'Punkte-Berechnung'!HG20)</f>
      </c>
      <c r="X19" s="1144">
        <f>IF('Punkte-Berechnung'!HH20="","",'Punkte-Berechnung'!HH20)</f>
      </c>
      <c r="Y19" s="1144">
        <f>IF('Punkte-Berechnung'!HI20="","",'Punkte-Berechnung'!HI20)</f>
      </c>
      <c r="Z19" s="1145">
        <f>IF('Punkte-Berechnung'!HJ20="","",'Punkte-Berechnung'!HJ20)</f>
      </c>
      <c r="AA19" s="50">
        <f>IF(OR($D19="",COUNT(H19:K19)=0),"",COUNT($H19:$K19))</f>
      </c>
      <c r="AB19" s="69">
        <f>IF(OR(E19=1,E19=2,S19="",AA19=0,AA19=""),"",SUM(W19:Z19))</f>
      </c>
      <c r="AC19" s="70">
        <f t="shared" si="9"/>
      </c>
      <c r="AD19" s="1131"/>
      <c r="AE19" s="1394">
        <f>IF(AND(AE6="",AE9="",AE11="",ISNA(Belegkontrolle!A12)=TRUE),"Die Zulassung ist geschafft!","")</f>
      </c>
      <c r="AF19" s="1394"/>
      <c r="AG19" s="1394"/>
      <c r="AH19" s="46"/>
      <c r="AI19" s="33"/>
      <c r="AJ19" s="903" t="str">
        <f>IF(AND(E19&lt;&gt;1,E19&lt;&gt;2,D19&lt;&gt;0),COUNTIF(W19:Z19,"&lt;5"),"0")</f>
        <v>0</v>
      </c>
      <c r="AK19" s="641" t="str">
        <f>IF(AND(OR(E19=1,E19=2),D19&lt;&gt;0),COUNTIF(W19:Z19,"&lt;5"),"0")</f>
        <v>0</v>
      </c>
      <c r="AL19" s="61"/>
      <c r="AO19" s="579"/>
      <c r="AP19" s="579"/>
      <c r="AQ19" s="579"/>
      <c r="AR19" s="579"/>
      <c r="AS19" s="588"/>
      <c r="AT19" s="391"/>
      <c r="AU19" s="589"/>
      <c r="AV19" s="391"/>
      <c r="AW19" s="327"/>
      <c r="AX19" s="327"/>
      <c r="AY19" s="327"/>
      <c r="AZ19" s="327"/>
      <c r="BA19" s="288"/>
      <c r="BB19" s="594"/>
      <c r="BC19" s="594"/>
      <c r="BD19" s="594"/>
      <c r="BE19" s="594"/>
      <c r="BG19" s="391"/>
      <c r="BI19" s="391"/>
      <c r="BJ19" s="391"/>
      <c r="BK19" s="391"/>
      <c r="BL19" s="391"/>
      <c r="BM19" s="888">
        <f>'Punkte-Berechnung'!EO20</f>
      </c>
      <c r="BN19" s="888">
        <f>'Punkte-Berechnung'!EP20</f>
      </c>
      <c r="BO19" s="888">
        <f>'Punkte-Berechnung'!EQ20</f>
      </c>
      <c r="BP19" s="888">
        <f>'Punkte-Berechnung'!ER20</f>
      </c>
      <c r="BQ19" s="391"/>
      <c r="BR19" s="1225">
        <f t="shared" si="7"/>
        <v>0</v>
      </c>
      <c r="BS19" s="570"/>
      <c r="BT19" s="570"/>
    </row>
    <row r="20" spans="2:72" ht="15" customHeight="1">
      <c r="B20" s="1195"/>
      <c r="C20" s="1349"/>
      <c r="D20" s="541"/>
      <c r="E20" s="897"/>
      <c r="F20" s="548">
        <f>IF(D20&lt;&gt;"",VALUE(3),"")</f>
      </c>
      <c r="G20" s="433"/>
      <c r="H20" s="1122"/>
      <c r="I20" s="356"/>
      <c r="J20" s="356"/>
      <c r="K20" s="357"/>
      <c r="L20" s="370">
        <f>IF($D20&lt;&gt;"",COUNT($H20:$K20)-COUNTIF(H20:K20,"0"),IF(AND($D20="",COUNT(F20:K20)&gt;0),"?",""))</f>
      </c>
      <c r="M20" s="43">
        <f t="shared" si="8"/>
      </c>
      <c r="O20" s="46"/>
      <c r="P20" s="46"/>
      <c r="R20" s="1350"/>
      <c r="S20" s="1143">
        <f>IF(D20="","",D20)</f>
      </c>
      <c r="T20" s="536">
        <f>IF(E20="","",E20)</f>
      </c>
      <c r="U20" s="351"/>
      <c r="V20" s="877">
        <f t="shared" si="3"/>
      </c>
      <c r="W20" s="1144">
        <f>IF('Punkte-Berechnung'!HG21="","",'Punkte-Berechnung'!HG21)</f>
      </c>
      <c r="X20" s="1144">
        <f>IF('Punkte-Berechnung'!HH21="","",'Punkte-Berechnung'!HH21)</f>
      </c>
      <c r="Y20" s="1144">
        <f>IF('Punkte-Berechnung'!HI21="","",'Punkte-Berechnung'!HI21)</f>
      </c>
      <c r="Z20" s="1241">
        <f>IF('Punkte-Berechnung'!HJ21="","",'Punkte-Berechnung'!HJ21)</f>
      </c>
      <c r="AA20" s="50">
        <f>IF(OR($D20="",COUNT(H20:K20)=0),"",COUNT($H20:$K20))</f>
      </c>
      <c r="AB20" s="69">
        <f>IF(OR(E20=1,E20=2,S20="",AA20=0,AA20=""),"",SUM(W20:Z20))</f>
      </c>
      <c r="AC20" s="70">
        <f t="shared" si="9"/>
      </c>
      <c r="AD20" s="1131"/>
      <c r="AE20" s="1394"/>
      <c r="AF20" s="1394"/>
      <c r="AG20" s="1394"/>
      <c r="AH20" s="46"/>
      <c r="AI20" s="33"/>
      <c r="AJ20" s="903" t="str">
        <f>IF(AND(E20&lt;&gt;1,E20&lt;&gt;2,D20&lt;&gt;0),COUNTIF(W20:Z20,"&lt;5"),"0")</f>
        <v>0</v>
      </c>
      <c r="AK20" s="641" t="str">
        <f>IF(AND(OR(E20=1,E20=2),D20&lt;&gt;0),COUNTIF(W20:Z20,"&lt;5"),"0")</f>
        <v>0</v>
      </c>
      <c r="AL20" s="61"/>
      <c r="AO20" s="579"/>
      <c r="AP20" s="579"/>
      <c r="AQ20" s="579"/>
      <c r="AR20" s="579"/>
      <c r="AS20" s="588"/>
      <c r="AT20" s="391"/>
      <c r="AU20" s="589"/>
      <c r="AV20" s="391"/>
      <c r="AW20" s="327"/>
      <c r="AX20" s="327"/>
      <c r="AY20" s="327"/>
      <c r="AZ20" s="327"/>
      <c r="BA20" s="288"/>
      <c r="BB20" s="594"/>
      <c r="BC20" s="594"/>
      <c r="BD20" s="594"/>
      <c r="BE20" s="594"/>
      <c r="BG20" s="391"/>
      <c r="BI20" s="391"/>
      <c r="BJ20" s="391"/>
      <c r="BK20" s="391"/>
      <c r="BL20" s="391"/>
      <c r="BM20" s="888"/>
      <c r="BN20" s="888"/>
      <c r="BO20" s="888"/>
      <c r="BP20" s="888"/>
      <c r="BQ20" s="391"/>
      <c r="BR20" s="1225">
        <f t="shared" si="7"/>
        <v>0</v>
      </c>
      <c r="BS20" s="570"/>
      <c r="BT20" s="570"/>
    </row>
    <row r="21" spans="2:72" ht="15" customHeight="1">
      <c r="B21" s="1195"/>
      <c r="C21" s="1349"/>
      <c r="D21" s="534">
        <f ca="1">IF(ISNA(VLOOKUP("GE",$D$17:$D$20,1,FALSE))=TRUE," GE-Z",IF(AND(COUNT(INDIRECT("H"&amp;MATCH("GE",D17:D20,0)+16):INDIRECT("I"&amp;MATCH("GE",D17:D20,0)+16))&lt;2,I39&gt;5)," GE-Z",""))</f>
      </c>
      <c r="E21" s="540"/>
      <c r="F21" s="548"/>
      <c r="G21" s="437"/>
      <c r="H21" s="366"/>
      <c r="I21" s="367"/>
      <c r="J21" s="356"/>
      <c r="K21" s="357"/>
      <c r="L21" s="370">
        <f>IF(AND(D21="",COUNT(F21:K21)&gt;0),"?",IF($D21="","",COUNT($J21:$K21)))</f>
      </c>
      <c r="M21" s="43">
        <f t="shared" si="8"/>
      </c>
      <c r="O21" s="46"/>
      <c r="P21" s="46"/>
      <c r="R21" s="1350"/>
      <c r="S21" s="1143">
        <f t="shared" si="0"/>
      </c>
      <c r="T21" s="536">
        <f t="shared" si="1"/>
      </c>
      <c r="U21" s="351">
        <f t="shared" si="2"/>
      </c>
      <c r="V21" s="877">
        <f t="shared" si="3"/>
      </c>
      <c r="W21" s="1144"/>
      <c r="X21" s="1155"/>
      <c r="Y21" s="1144">
        <f>IF('Punkte-Berechnung'!HI22="","",'Punkte-Berechnung'!HI22)</f>
      </c>
      <c r="Z21" s="1243">
        <f>IF('Punkte-Berechnung'!HJ22="","",'Punkte-Berechnung'!HJ22)</f>
      </c>
      <c r="AA21" s="50">
        <f>IF(OR($D21="",COUNT(J21:K21)=0),"",COUNT($J21:$K21))</f>
      </c>
      <c r="AB21" s="69">
        <f>IF(OR(E21=1,E21=2,S21="",AA21="",AA21=0),"",SUM(W21:Z21))</f>
      </c>
      <c r="AC21" s="70">
        <f t="shared" si="9"/>
      </c>
      <c r="AD21" s="1131"/>
      <c r="AE21" s="1394"/>
      <c r="AF21" s="1394"/>
      <c r="AG21" s="1394"/>
      <c r="AH21" s="46"/>
      <c r="AI21" s="33"/>
      <c r="AJ21" s="903">
        <f t="shared" si="5"/>
        <v>0</v>
      </c>
      <c r="AK21" s="641" t="str">
        <f t="shared" si="6"/>
        <v>0</v>
      </c>
      <c r="AL21" s="61"/>
      <c r="AO21" s="579"/>
      <c r="AP21" s="579"/>
      <c r="AQ21" s="579"/>
      <c r="AR21" s="579"/>
      <c r="AS21" s="588"/>
      <c r="AT21" s="391"/>
      <c r="AU21" s="589"/>
      <c r="AV21" s="391"/>
      <c r="AW21" s="327"/>
      <c r="AX21" s="327"/>
      <c r="AY21" s="327"/>
      <c r="AZ21" s="327"/>
      <c r="BA21" s="288"/>
      <c r="BB21" s="594"/>
      <c r="BC21" s="594"/>
      <c r="BD21" s="594"/>
      <c r="BE21" s="594"/>
      <c r="BG21" s="391"/>
      <c r="BI21" s="391"/>
      <c r="BJ21" s="391"/>
      <c r="BK21" s="391"/>
      <c r="BL21" s="391"/>
      <c r="BM21" s="888"/>
      <c r="BN21" s="888"/>
      <c r="BO21" s="888">
        <f>'Punkte-Berechnung'!EQ22</f>
      </c>
      <c r="BP21" s="888">
        <f>'Punkte-Berechnung'!ER22</f>
      </c>
      <c r="BQ21" s="391"/>
      <c r="BR21" s="1225">
        <f t="shared" si="7"/>
        <v>0</v>
      </c>
      <c r="BS21" s="570"/>
      <c r="BT21" s="570"/>
    </row>
    <row r="22" spans="2:72" ht="15" customHeight="1">
      <c r="B22" s="1198"/>
      <c r="C22" s="1349"/>
      <c r="D22" s="535" t="str">
        <f ca="1">IF(ISNA(VLOOKUP("SW",D17:D19,1,FALSE))=TRUE," SW-Z",IF(AND(COUNT(INDIRECT("H"&amp;MATCH("SW",D17:D19,0)+16):INDIRECT("I"&amp;MATCH("SW",D17:D19,0)+16))&lt;2,I39&gt;7)," SW-Z",""))</f>
        <v> SW-Z</v>
      </c>
      <c r="E22" s="537"/>
      <c r="F22" s="549"/>
      <c r="G22" s="438"/>
      <c r="H22" s="368"/>
      <c r="I22" s="369"/>
      <c r="J22" s="362"/>
      <c r="K22" s="363"/>
      <c r="L22" s="385">
        <f>IF(AND(D22="",COUNT(F22:K22)&gt;0),"?",IF($D22="","",COUNT($J22:$K22)))</f>
        <v>0</v>
      </c>
      <c r="M22" s="267">
        <f t="shared" si="8"/>
        <v>0</v>
      </c>
      <c r="O22" s="46"/>
      <c r="P22" s="46"/>
      <c r="R22" s="1350"/>
      <c r="S22" s="1156" t="str">
        <f t="shared" si="0"/>
        <v> SW-Z</v>
      </c>
      <c r="T22" s="1157">
        <f t="shared" si="1"/>
      </c>
      <c r="U22" s="868">
        <f t="shared" si="2"/>
      </c>
      <c r="V22" s="878">
        <f t="shared" si="3"/>
      </c>
      <c r="W22" s="1147"/>
      <c r="X22" s="1148"/>
      <c r="Y22" s="1148">
        <f>IF('Punkte-Berechnung'!HI23="","",'Punkte-Berechnung'!HI23)</f>
      </c>
      <c r="Z22" s="1149">
        <f>IF('Punkte-Berechnung'!HJ23="","",'Punkte-Berechnung'!HJ23)</f>
      </c>
      <c r="AA22" s="256">
        <f>IF(OR($D22="",COUNT(J22:K22)=0),"",COUNT($J22:$K22))</f>
      </c>
      <c r="AB22" s="420">
        <f>IF(OR(E22=1,E22=2,S22="",AA22="",AA22=0),"",SUM(W22:Z22))</f>
      </c>
      <c r="AC22" s="494">
        <f t="shared" si="9"/>
      </c>
      <c r="AD22" s="1131"/>
      <c r="AE22" s="1394"/>
      <c r="AF22" s="1394"/>
      <c r="AG22" s="1394"/>
      <c r="AH22" s="46"/>
      <c r="AI22" s="33"/>
      <c r="AJ22" s="903">
        <f t="shared" si="5"/>
        <v>0</v>
      </c>
      <c r="AK22" s="641" t="str">
        <f t="shared" si="6"/>
        <v>0</v>
      </c>
      <c r="AL22" s="61"/>
      <c r="AO22" s="579"/>
      <c r="AP22" s="579"/>
      <c r="AQ22" s="579"/>
      <c r="AR22" s="579"/>
      <c r="AS22" s="588"/>
      <c r="AT22" s="391"/>
      <c r="AU22" s="589"/>
      <c r="AV22" s="391"/>
      <c r="AW22" s="327"/>
      <c r="AX22" s="327"/>
      <c r="AY22" s="327"/>
      <c r="AZ22" s="327"/>
      <c r="BA22" s="288"/>
      <c r="BB22" s="594"/>
      <c r="BC22" s="594"/>
      <c r="BD22" s="594"/>
      <c r="BE22" s="594"/>
      <c r="BG22" s="391"/>
      <c r="BI22" s="391"/>
      <c r="BJ22" s="391"/>
      <c r="BK22" s="391"/>
      <c r="BL22" s="391"/>
      <c r="BM22" s="888"/>
      <c r="BN22" s="888"/>
      <c r="BO22" s="888">
        <f>'Punkte-Berechnung'!EQ23</f>
      </c>
      <c r="BP22" s="888">
        <f>'Punkte-Berechnung'!ER23</f>
      </c>
      <c r="BQ22" s="391"/>
      <c r="BR22" s="1225">
        <f t="shared" si="7"/>
        <v>0</v>
      </c>
      <c r="BS22" s="570"/>
      <c r="BT22" s="570"/>
    </row>
    <row r="23" spans="2:72" ht="15" customHeight="1">
      <c r="B23" s="1193" t="s">
        <v>51</v>
      </c>
      <c r="C23" s="1349" t="s">
        <v>52</v>
      </c>
      <c r="D23" s="534" t="s">
        <v>53</v>
      </c>
      <c r="E23" s="897"/>
      <c r="F23" s="548">
        <v>3</v>
      </c>
      <c r="G23" s="431">
        <v>3</v>
      </c>
      <c r="H23" s="559"/>
      <c r="I23" s="559"/>
      <c r="J23" s="559"/>
      <c r="K23" s="560"/>
      <c r="L23" s="371">
        <f aca="true" t="shared" si="10" ref="L23:L28">IF($D23&lt;&gt;"",COUNT($H23:$K23)-COUNTIF(H23:K23,"0"),IF(AND($D23="",COUNT(F23:K23)&gt;0),"?",""))</f>
        <v>0</v>
      </c>
      <c r="M23" s="43">
        <f t="shared" si="8"/>
        <v>3</v>
      </c>
      <c r="O23" s="46"/>
      <c r="P23" s="46"/>
      <c r="R23" s="1350" t="s">
        <v>52</v>
      </c>
      <c r="S23" s="1158" t="str">
        <f t="shared" si="0"/>
        <v>M</v>
      </c>
      <c r="T23" s="1159">
        <f t="shared" si="1"/>
      </c>
      <c r="U23" s="871">
        <f t="shared" si="2"/>
        <v>3</v>
      </c>
      <c r="V23" s="879">
        <f t="shared" si="3"/>
        <v>3</v>
      </c>
      <c r="W23" s="1127">
        <f>IF('Punkte-Berechnung'!HG24="","",'Punkte-Berechnung'!HG24)</f>
      </c>
      <c r="X23" s="1127">
        <f>IF('Punkte-Berechnung'!HH24="","",'Punkte-Berechnung'!HH24)</f>
      </c>
      <c r="Y23" s="1127">
        <f>IF('Punkte-Berechnung'!HI24="","",'Punkte-Berechnung'!HI24)</f>
      </c>
      <c r="Z23" s="1160">
        <f>IF('Punkte-Berechnung'!HJ24="","",'Punkte-Berechnung'!HJ24)</f>
      </c>
      <c r="AA23" s="257">
        <f aca="true" t="shared" si="11" ref="AA23:AA30">IF(OR($D23="",COUNT(H23:K23)=0),"",COUNT($H23:$K23))</f>
      </c>
      <c r="AB23" s="69">
        <f>IF(OR(E23=1,E23=2,S23="",AA23="",AA23=0),"",SUM(W23:Z23))</f>
      </c>
      <c r="AC23" s="70">
        <f t="shared" si="9"/>
      </c>
      <c r="AD23" s="1131"/>
      <c r="AE23" s="1351">
        <f>IF(AND(AE6="",AE9="",AE11="",ISNA(Belegkontrolle!A12)=TRUE),"Herzlichen Glückwunsch!","")</f>
      </c>
      <c r="AF23" s="1351"/>
      <c r="AG23" s="1351"/>
      <c r="AH23" s="46"/>
      <c r="AI23" s="33"/>
      <c r="AJ23" s="903">
        <f t="shared" si="5"/>
        <v>0</v>
      </c>
      <c r="AK23" s="641" t="str">
        <f t="shared" si="6"/>
        <v>0</v>
      </c>
      <c r="AL23" s="61"/>
      <c r="AO23" s="579"/>
      <c r="AP23" s="579"/>
      <c r="AQ23" s="579"/>
      <c r="AR23" s="579"/>
      <c r="AS23" s="588"/>
      <c r="AT23" s="391"/>
      <c r="AU23" s="589"/>
      <c r="AV23" s="391"/>
      <c r="AW23" s="327"/>
      <c r="AX23" s="327"/>
      <c r="AY23" s="327"/>
      <c r="AZ23" s="327"/>
      <c r="BA23" s="288"/>
      <c r="BB23" s="594"/>
      <c r="BC23" s="594"/>
      <c r="BD23" s="594"/>
      <c r="BE23" s="594"/>
      <c r="BG23" s="391"/>
      <c r="BI23" s="391"/>
      <c r="BJ23" s="391"/>
      <c r="BK23" s="391"/>
      <c r="BL23" s="391"/>
      <c r="BM23" s="888">
        <f>'Punkte-Berechnung'!EO24</f>
      </c>
      <c r="BN23" s="888">
        <f>'Punkte-Berechnung'!EP24</f>
      </c>
      <c r="BO23" s="888">
        <f>'Punkte-Berechnung'!EQ24</f>
      </c>
      <c r="BP23" s="888">
        <f>'Punkte-Berechnung'!ER24</f>
      </c>
      <c r="BQ23" s="391"/>
      <c r="BR23" s="1225">
        <f t="shared" si="7"/>
        <v>0</v>
      </c>
      <c r="BS23" s="570"/>
      <c r="BT23" s="570"/>
    </row>
    <row r="24" spans="2:72" ht="15.75" customHeight="1">
      <c r="B24" s="1195"/>
      <c r="C24" s="1349"/>
      <c r="D24" s="541" t="s">
        <v>54</v>
      </c>
      <c r="E24" s="897"/>
      <c r="F24" s="548">
        <f>IF(D24&lt;&gt;"",VALUE(3),"")</f>
        <v>3</v>
      </c>
      <c r="G24" s="431">
        <v>3</v>
      </c>
      <c r="H24" s="559"/>
      <c r="I24" s="559"/>
      <c r="J24" s="559"/>
      <c r="K24" s="560"/>
      <c r="L24" s="371">
        <f t="shared" si="10"/>
        <v>0</v>
      </c>
      <c r="M24" s="43">
        <f t="shared" si="8"/>
        <v>3</v>
      </c>
      <c r="O24" s="1367"/>
      <c r="P24" s="1367"/>
      <c r="R24" s="1350"/>
      <c r="S24" s="1143" t="str">
        <f t="shared" si="0"/>
        <v>BI</v>
      </c>
      <c r="T24" s="536">
        <f t="shared" si="1"/>
      </c>
      <c r="U24" s="351">
        <f t="shared" si="2"/>
        <v>3</v>
      </c>
      <c r="V24" s="877">
        <f t="shared" si="3"/>
        <v>3</v>
      </c>
      <c r="W24" s="1144">
        <f>IF('Punkte-Berechnung'!HG25="","",'Punkte-Berechnung'!HG25)</f>
      </c>
      <c r="X24" s="1144">
        <f>IF('Punkte-Berechnung'!HH25="","",'Punkte-Berechnung'!HH25)</f>
      </c>
      <c r="Y24" s="1144">
        <f>IF('Punkte-Berechnung'!HI25="","",'Punkte-Berechnung'!HI25)</f>
      </c>
      <c r="Z24" s="1145">
        <f>IF('Punkte-Berechnung'!HJ25="","",'Punkte-Berechnung'!HJ25)</f>
      </c>
      <c r="AA24" s="50">
        <f t="shared" si="11"/>
      </c>
      <c r="AB24" s="69">
        <f>IF(OR(E24=1,E24=2,S24="",AA24=0,AA24=""),"",SUM(W24:Z24))</f>
      </c>
      <c r="AC24" s="70">
        <f t="shared" si="9"/>
      </c>
      <c r="AD24" s="1131"/>
      <c r="AE24" s="1351"/>
      <c r="AF24" s="1351"/>
      <c r="AG24" s="1351"/>
      <c r="AH24" s="46"/>
      <c r="AI24" s="33"/>
      <c r="AJ24" s="903">
        <f t="shared" si="5"/>
        <v>0</v>
      </c>
      <c r="AK24" s="641" t="str">
        <f t="shared" si="6"/>
        <v>0</v>
      </c>
      <c r="AL24" s="61"/>
      <c r="AO24" s="579"/>
      <c r="AP24" s="579"/>
      <c r="AQ24" s="579"/>
      <c r="AR24" s="579"/>
      <c r="AS24" s="588"/>
      <c r="AT24" s="391"/>
      <c r="AU24" s="589"/>
      <c r="AV24" s="391"/>
      <c r="AW24" s="327"/>
      <c r="AX24" s="327"/>
      <c r="AY24" s="327"/>
      <c r="AZ24" s="327"/>
      <c r="BA24" s="593"/>
      <c r="BB24" s="327"/>
      <c r="BC24" s="327"/>
      <c r="BD24" s="327"/>
      <c r="BE24" s="327"/>
      <c r="BG24" s="391"/>
      <c r="BI24" s="393"/>
      <c r="BJ24" s="393"/>
      <c r="BK24" s="393"/>
      <c r="BL24" s="393"/>
      <c r="BM24" s="888">
        <f>'Punkte-Berechnung'!EO25</f>
      </c>
      <c r="BN24" s="888">
        <f>'Punkte-Berechnung'!EP25</f>
      </c>
      <c r="BO24" s="888">
        <f>'Punkte-Berechnung'!EQ25</f>
      </c>
      <c r="BP24" s="888">
        <f>'Punkte-Berechnung'!ER25</f>
      </c>
      <c r="BQ24" s="393"/>
      <c r="BR24" s="1225">
        <f t="shared" si="7"/>
        <v>0</v>
      </c>
      <c r="BS24" s="393"/>
      <c r="BT24" s="391"/>
    </row>
    <row r="25" spans="2:72" ht="15.75" customHeight="1">
      <c r="B25" s="1195"/>
      <c r="C25" s="1349"/>
      <c r="D25" s="541"/>
      <c r="E25" s="897" t="s">
        <v>506</v>
      </c>
      <c r="F25" s="548">
        <f>IF(D25&lt;&gt;"",VALUE(3),"")</f>
      </c>
      <c r="G25" s="432"/>
      <c r="H25" s="1047"/>
      <c r="I25" s="1048"/>
      <c r="J25" s="1048"/>
      <c r="K25" s="1049"/>
      <c r="L25" s="371">
        <f t="shared" si="10"/>
      </c>
      <c r="M25" s="43">
        <f t="shared" si="8"/>
      </c>
      <c r="O25" s="1367"/>
      <c r="P25" s="1367"/>
      <c r="R25" s="1350"/>
      <c r="S25" s="1143">
        <f t="shared" si="0"/>
      </c>
      <c r="T25" s="536">
        <f t="shared" si="1"/>
      </c>
      <c r="U25" s="351">
        <f t="shared" si="2"/>
      </c>
      <c r="V25" s="877">
        <f t="shared" si="3"/>
      </c>
      <c r="W25" s="1144">
        <f>IF('Punkte-Berechnung'!HG26="","",'Punkte-Berechnung'!HG26)</f>
      </c>
      <c r="X25" s="1144">
        <f>IF('Punkte-Berechnung'!HH26="","",'Punkte-Berechnung'!HH26)</f>
      </c>
      <c r="Y25" s="1144">
        <f>IF('Punkte-Berechnung'!HI26="","",'Punkte-Berechnung'!HI26)</f>
      </c>
      <c r="Z25" s="1145">
        <f>IF('Punkte-Berechnung'!HJ26="","",'Punkte-Berechnung'!HJ26)</f>
      </c>
      <c r="AA25" s="50">
        <f t="shared" si="11"/>
      </c>
      <c r="AB25" s="69">
        <f>IF(OR(E25=1,E25=2,S25="",AA25=0,AA25=""),"",SUM(W25:Z25))</f>
      </c>
      <c r="AC25" s="70">
        <f t="shared" si="9"/>
      </c>
      <c r="AD25" s="46"/>
      <c r="AE25" s="1351"/>
      <c r="AF25" s="1351"/>
      <c r="AG25" s="1351"/>
      <c r="AH25" s="46"/>
      <c r="AI25" s="33"/>
      <c r="AJ25" s="903" t="str">
        <f t="shared" si="5"/>
        <v>0</v>
      </c>
      <c r="AK25" s="641" t="str">
        <f t="shared" si="6"/>
        <v>0</v>
      </c>
      <c r="AL25" s="61"/>
      <c r="AO25" s="579"/>
      <c r="AP25" s="579"/>
      <c r="AQ25" s="579"/>
      <c r="AR25" s="579"/>
      <c r="AS25" s="588"/>
      <c r="AT25" s="391"/>
      <c r="AU25" s="589"/>
      <c r="AV25" s="391"/>
      <c r="AW25" s="327"/>
      <c r="AX25" s="327"/>
      <c r="AY25" s="327"/>
      <c r="AZ25" s="327"/>
      <c r="BA25" s="593"/>
      <c r="BB25" s="327"/>
      <c r="BC25" s="327"/>
      <c r="BD25" s="327"/>
      <c r="BE25" s="327"/>
      <c r="BG25" s="391"/>
      <c r="BI25" s="393"/>
      <c r="BJ25" s="393"/>
      <c r="BK25" s="393"/>
      <c r="BL25" s="393"/>
      <c r="BM25" s="888">
        <f>'Punkte-Berechnung'!EO26</f>
      </c>
      <c r="BN25" s="888">
        <f>'Punkte-Berechnung'!EP26</f>
      </c>
      <c r="BO25" s="888">
        <f>'Punkte-Berechnung'!EQ26</f>
      </c>
      <c r="BP25" s="888">
        <f>'Punkte-Berechnung'!ER26</f>
      </c>
      <c r="BQ25" s="393"/>
      <c r="BR25" s="1225">
        <f t="shared" si="7"/>
        <v>0</v>
      </c>
      <c r="BS25" s="393"/>
      <c r="BT25" s="391"/>
    </row>
    <row r="26" spans="2:72" ht="15.75" customHeight="1">
      <c r="B26" s="1195"/>
      <c r="C26" s="1349"/>
      <c r="D26" s="541" t="s">
        <v>506</v>
      </c>
      <c r="E26" s="897" t="s">
        <v>506</v>
      </c>
      <c r="F26" s="548">
        <f>IF(D26&lt;&gt;"",VALUE(3),"")</f>
      </c>
      <c r="G26" s="433" t="s">
        <v>506</v>
      </c>
      <c r="H26" s="356" t="s">
        <v>506</v>
      </c>
      <c r="I26" s="356" t="s">
        <v>506</v>
      </c>
      <c r="J26" s="356" t="s">
        <v>506</v>
      </c>
      <c r="K26" s="357" t="s">
        <v>506</v>
      </c>
      <c r="L26" s="371">
        <f t="shared" si="10"/>
      </c>
      <c r="M26" s="43">
        <f t="shared" si="8"/>
      </c>
      <c r="O26" s="1367"/>
      <c r="P26" s="1367"/>
      <c r="R26" s="1350"/>
      <c r="S26" s="1143">
        <f t="shared" si="0"/>
      </c>
      <c r="T26" s="536">
        <f t="shared" si="1"/>
      </c>
      <c r="U26" s="351">
        <f t="shared" si="2"/>
      </c>
      <c r="V26" s="877">
        <f t="shared" si="3"/>
      </c>
      <c r="W26" s="1144">
        <f>IF('Punkte-Berechnung'!HG27="","",'Punkte-Berechnung'!HG27)</f>
      </c>
      <c r="X26" s="1144">
        <f>IF('Punkte-Berechnung'!HH27="","",'Punkte-Berechnung'!HH27)</f>
      </c>
      <c r="Y26" s="1144">
        <f>IF('Punkte-Berechnung'!HI27="","",'Punkte-Berechnung'!HI27)</f>
      </c>
      <c r="Z26" s="1145">
        <f>IF('Punkte-Berechnung'!HJ27="","",'Punkte-Berechnung'!HJ27)</f>
      </c>
      <c r="AA26" s="1231">
        <f t="shared" si="11"/>
      </c>
      <c r="AB26" s="69">
        <f>IF(OR(E26=1,E26=2,S26="",AA26=0,AA26=""),"",SUM(W26:Z26))</f>
      </c>
      <c r="AC26" s="70">
        <f t="shared" si="9"/>
      </c>
      <c r="AD26" s="1131"/>
      <c r="AH26" s="46"/>
      <c r="AI26" s="33"/>
      <c r="AJ26" s="903">
        <f t="shared" si="5"/>
        <v>0</v>
      </c>
      <c r="AK26" s="641" t="str">
        <f t="shared" si="6"/>
        <v>0</v>
      </c>
      <c r="AL26" s="61"/>
      <c r="AO26" s="579"/>
      <c r="AP26" s="579"/>
      <c r="AQ26" s="579"/>
      <c r="AR26" s="579"/>
      <c r="AS26" s="588"/>
      <c r="AT26" s="391"/>
      <c r="AU26" s="589"/>
      <c r="AV26" s="391"/>
      <c r="AW26" s="327"/>
      <c r="AX26" s="327"/>
      <c r="AY26" s="327"/>
      <c r="AZ26" s="327"/>
      <c r="BA26" s="593"/>
      <c r="BB26" s="327"/>
      <c r="BC26" s="327"/>
      <c r="BD26" s="327"/>
      <c r="BE26" s="327"/>
      <c r="BG26" s="391"/>
      <c r="BI26" s="393"/>
      <c r="BJ26" s="393"/>
      <c r="BK26" s="393"/>
      <c r="BL26" s="393"/>
      <c r="BM26" s="888">
        <f>'Punkte-Berechnung'!EO27</f>
      </c>
      <c r="BN26" s="888">
        <f>'Punkte-Berechnung'!EP27</f>
      </c>
      <c r="BO26" s="888">
        <f>'Punkte-Berechnung'!EQ27</f>
      </c>
      <c r="BP26" s="888">
        <f>'Punkte-Berechnung'!ER27</f>
      </c>
      <c r="BQ26" s="393"/>
      <c r="BR26" s="1225">
        <f t="shared" si="7"/>
        <v>0</v>
      </c>
      <c r="BS26" s="393"/>
      <c r="BT26" s="391"/>
    </row>
    <row r="27" spans="2:72" ht="15.75">
      <c r="B27" s="1198"/>
      <c r="C27" s="1349"/>
      <c r="D27" s="543"/>
      <c r="E27" s="898" t="s">
        <v>506</v>
      </c>
      <c r="F27" s="549">
        <f>IF(D27&lt;&gt;"",VALUE(3),"")</f>
      </c>
      <c r="G27" s="439"/>
      <c r="H27" s="361"/>
      <c r="I27" s="362"/>
      <c r="J27" s="362"/>
      <c r="K27" s="363"/>
      <c r="L27" s="385">
        <f t="shared" si="10"/>
      </c>
      <c r="M27" s="267">
        <f t="shared" si="8"/>
      </c>
      <c r="O27" s="1367"/>
      <c r="P27" s="1367"/>
      <c r="R27" s="1350"/>
      <c r="S27" s="1161">
        <f t="shared" si="0"/>
      </c>
      <c r="T27" s="1162">
        <f t="shared" si="1"/>
      </c>
      <c r="U27" s="868">
        <f t="shared" si="2"/>
      </c>
      <c r="V27" s="878">
        <f t="shared" si="3"/>
      </c>
      <c r="W27" s="1152">
        <f>IF('Punkte-Berechnung'!HG28="","",'Punkte-Berechnung'!HG28)</f>
      </c>
      <c r="X27" s="1147">
        <f>IF('Punkte-Berechnung'!HH28="","",'Punkte-Berechnung'!HH28)</f>
      </c>
      <c r="Y27" s="1147">
        <f>IF('Punkte-Berechnung'!HI28="","",'Punkte-Berechnung'!HI28)</f>
      </c>
      <c r="Z27" s="1149">
        <f>IF('Punkte-Berechnung'!HJ28="","",'Punkte-Berechnung'!HJ28)</f>
      </c>
      <c r="AA27" s="1232">
        <f t="shared" si="11"/>
      </c>
      <c r="AB27" s="420">
        <f>IF(OR(E27=1,E27=2,S27="",AA27=0,AA27=""),"",SUM(W27:Z27))</f>
      </c>
      <c r="AC27" s="494">
        <f t="shared" si="9"/>
      </c>
      <c r="AD27" s="1131"/>
      <c r="AH27" s="46"/>
      <c r="AI27" s="33"/>
      <c r="AJ27" s="903" t="str">
        <f t="shared" si="5"/>
        <v>0</v>
      </c>
      <c r="AK27" s="641" t="str">
        <f t="shared" si="6"/>
        <v>0</v>
      </c>
      <c r="AL27" s="61"/>
      <c r="AO27" s="579"/>
      <c r="AP27" s="579"/>
      <c r="AQ27" s="579"/>
      <c r="AR27" s="579"/>
      <c r="AS27" s="588"/>
      <c r="AT27" s="391"/>
      <c r="AU27" s="589"/>
      <c r="AV27" s="391"/>
      <c r="AW27" s="327"/>
      <c r="AX27" s="327"/>
      <c r="AY27" s="327"/>
      <c r="AZ27" s="327"/>
      <c r="BA27" s="593"/>
      <c r="BB27" s="327"/>
      <c r="BC27" s="327"/>
      <c r="BD27" s="327"/>
      <c r="BE27" s="327"/>
      <c r="BG27" s="391"/>
      <c r="BI27" s="393"/>
      <c r="BJ27" s="393"/>
      <c r="BK27" s="393"/>
      <c r="BL27" s="393"/>
      <c r="BM27" s="888">
        <f>'Punkte-Berechnung'!EO28</f>
      </c>
      <c r="BN27" s="888">
        <f>'Punkte-Berechnung'!EP28</f>
      </c>
      <c r="BO27" s="888">
        <f>'Punkte-Berechnung'!EQ28</f>
      </c>
      <c r="BP27" s="888">
        <f>'Punkte-Berechnung'!ER28</f>
      </c>
      <c r="BQ27" s="393"/>
      <c r="BR27" s="1225">
        <f t="shared" si="7"/>
        <v>0</v>
      </c>
      <c r="BS27" s="393"/>
      <c r="BT27" s="391"/>
    </row>
    <row r="28" spans="2:72" ht="15" customHeight="1">
      <c r="B28" s="1195"/>
      <c r="C28" s="1358" t="s">
        <v>72</v>
      </c>
      <c r="D28" s="544" t="s">
        <v>56</v>
      </c>
      <c r="E28" s="899" t="s">
        <v>506</v>
      </c>
      <c r="F28" s="548">
        <v>3</v>
      </c>
      <c r="G28" s="431">
        <v>3</v>
      </c>
      <c r="H28" s="558"/>
      <c r="I28" s="559"/>
      <c r="J28" s="356"/>
      <c r="K28" s="357"/>
      <c r="L28" s="488">
        <f t="shared" si="10"/>
        <v>0</v>
      </c>
      <c r="M28" s="45">
        <f>IF(D28="","",IF(OR(E28="",E28&gt;2),(COUNT(F28:K28)-COUNTIF(H28:K28,"0"))*3/2,3+COUNT(H28:K28)*5/2))</f>
        <v>3</v>
      </c>
      <c r="O28" s="46"/>
      <c r="P28" s="46"/>
      <c r="R28" s="1360" t="s">
        <v>72</v>
      </c>
      <c r="S28" s="1158" t="str">
        <f t="shared" si="0"/>
        <v>KR</v>
      </c>
      <c r="T28" s="1159">
        <f t="shared" si="1"/>
      </c>
      <c r="U28" s="871">
        <f t="shared" si="2"/>
        <v>3</v>
      </c>
      <c r="V28" s="879">
        <f t="shared" si="3"/>
        <v>3</v>
      </c>
      <c r="W28" s="1163">
        <f>IF('Punkte-Berechnung'!HG29="","",'Punkte-Berechnung'!HG29)</f>
      </c>
      <c r="X28" s="1164">
        <f>IF('Punkte-Berechnung'!HH29="","",'Punkte-Berechnung'!HH29)</f>
      </c>
      <c r="Y28" s="1164">
        <f>IF('Punkte-Berechnung'!HI29="","",'Punkte-Berechnung'!HI29)</f>
      </c>
      <c r="Z28" s="1165">
        <f>IF('Punkte-Berechnung'!HJ29="","",'Punkte-Berechnung'!HJ29)</f>
      </c>
      <c r="AA28" s="257">
        <f t="shared" si="11"/>
      </c>
      <c r="AB28" s="69">
        <f>IF(OR(E28=1,E28=2,S28="",AA28="",AA28=0),"",SUM(W28:Z28))</f>
      </c>
      <c r="AC28" s="70">
        <f t="shared" si="9"/>
      </c>
      <c r="AD28" s="1131"/>
      <c r="AE28" s="1435">
        <f>IF('Punkte-Berechnung'!BE19&lt;&gt;"","Ersatzfach für Religion:                 "&amp;'Punkte-Berechnung'!BE19&amp;" aus "&amp;'Punkte-Berechnung'!BF19&amp;", "&amp;'Punkte-Berechnung'!BF20,"")</f>
      </c>
      <c r="AF28" s="1435"/>
      <c r="AG28" s="1435"/>
      <c r="AH28" s="1435"/>
      <c r="AI28" s="33"/>
      <c r="AJ28" s="903">
        <f t="shared" si="5"/>
        <v>0</v>
      </c>
      <c r="AK28" s="641" t="str">
        <f t="shared" si="6"/>
        <v>0</v>
      </c>
      <c r="AL28" s="61"/>
      <c r="AO28" s="579"/>
      <c r="AP28" s="579"/>
      <c r="AQ28" s="579"/>
      <c r="AR28" s="579"/>
      <c r="AS28" s="588"/>
      <c r="AT28" s="391"/>
      <c r="AU28" s="589"/>
      <c r="AV28" s="391"/>
      <c r="AW28" s="288"/>
      <c r="AX28" s="288"/>
      <c r="AY28" s="288"/>
      <c r="AZ28" s="288"/>
      <c r="BA28" s="288"/>
      <c r="BB28" s="594"/>
      <c r="BC28" s="594"/>
      <c r="BD28" s="594"/>
      <c r="BE28" s="594"/>
      <c r="BG28" s="391"/>
      <c r="BI28" s="391"/>
      <c r="BJ28" s="391"/>
      <c r="BK28" s="391"/>
      <c r="BL28" s="391"/>
      <c r="BM28" s="888" t="e">
        <f>'Punkte-Berechnung'!EO29</f>
        <v>#NUM!</v>
      </c>
      <c r="BN28" s="888" t="e">
        <f>'Punkte-Berechnung'!EP29</f>
        <v>#NUM!</v>
      </c>
      <c r="BO28" s="888" t="e">
        <f>'Punkte-Berechnung'!EQ29</f>
        <v>#NUM!</v>
      </c>
      <c r="BP28" s="888" t="e">
        <f>'Punkte-Berechnung'!ER29</f>
        <v>#NUM!</v>
      </c>
      <c r="BQ28" s="391"/>
      <c r="BR28" s="1225">
        <f t="shared" si="7"/>
        <v>0</v>
      </c>
      <c r="BS28" s="570"/>
      <c r="BT28" s="570"/>
    </row>
    <row r="29" spans="2:72" ht="14.25" customHeight="1">
      <c r="B29" s="1195"/>
      <c r="C29" s="1359"/>
      <c r="D29" s="542" t="s">
        <v>49</v>
      </c>
      <c r="E29" s="898" t="s">
        <v>506</v>
      </c>
      <c r="F29" s="1229">
        <v>3</v>
      </c>
      <c r="G29" s="436">
        <v>3</v>
      </c>
      <c r="H29" s="361"/>
      <c r="I29" s="362"/>
      <c r="J29" s="362" t="s">
        <v>506</v>
      </c>
      <c r="K29" s="363" t="s">
        <v>506</v>
      </c>
      <c r="L29" s="385">
        <f>IF($D29&lt;&gt;"",COUNT($H29:$K29)-COUNTIF(H29:K29,"0"),IF(AND($D29="",COUNT(F29:K29)&gt;0),"?",""))</f>
        <v>0</v>
      </c>
      <c r="M29" s="267">
        <f>IF(D29="","",IF(OR(E29="",E29&gt;2),(COUNT(F29:K29)-COUNTIF(H29:K29,"0"))*3/2,3+COUNT(H29:K29)*5/2))</f>
        <v>3</v>
      </c>
      <c r="O29" s="46"/>
      <c r="P29" s="46"/>
      <c r="R29" s="1361"/>
      <c r="S29" s="1146" t="str">
        <f t="shared" si="0"/>
        <v>PL</v>
      </c>
      <c r="T29" s="537">
        <f t="shared" si="1"/>
      </c>
      <c r="U29" s="868">
        <f t="shared" si="2"/>
        <v>3</v>
      </c>
      <c r="V29" s="878">
        <f t="shared" si="3"/>
        <v>3</v>
      </c>
      <c r="W29" s="1166">
        <f>IF('Punkte-Berechnung'!HG30="","",'Punkte-Berechnung'!HG30)</f>
      </c>
      <c r="X29" s="1167">
        <f>IF('Punkte-Berechnung'!HH30="","",'Punkte-Berechnung'!HH30)</f>
      </c>
      <c r="Y29" s="1167">
        <f>IF('Punkte-Berechnung'!HI30="","",'Punkte-Berechnung'!HI30)</f>
      </c>
      <c r="Z29" s="1168">
        <f>IF('Punkte-Berechnung'!HJ30="","",'Punkte-Berechnung'!HJ30)</f>
      </c>
      <c r="AA29" s="492">
        <f t="shared" si="11"/>
      </c>
      <c r="AB29" s="420">
        <f>IF(OR(E29=1,E29=2,S29="",AA29="",AA29=0),"",SUM(W29:Z29))</f>
      </c>
      <c r="AC29" s="494">
        <f t="shared" si="9"/>
      </c>
      <c r="AD29" s="1131"/>
      <c r="AE29" s="1435"/>
      <c r="AF29" s="1435"/>
      <c r="AG29" s="1435"/>
      <c r="AH29" s="1435"/>
      <c r="AI29" s="33"/>
      <c r="AJ29" s="903">
        <f t="shared" si="5"/>
        <v>0</v>
      </c>
      <c r="AK29" s="641" t="str">
        <f t="shared" si="6"/>
        <v>0</v>
      </c>
      <c r="AL29" s="61"/>
      <c r="AO29" s="579"/>
      <c r="AP29" s="579"/>
      <c r="AQ29" s="579"/>
      <c r="AR29" s="579"/>
      <c r="AS29" s="588"/>
      <c r="AT29" s="391"/>
      <c r="AU29" s="589"/>
      <c r="AV29" s="391"/>
      <c r="AW29" s="288"/>
      <c r="AX29" s="288"/>
      <c r="AY29" s="288"/>
      <c r="AZ29" s="288"/>
      <c r="BA29" s="288"/>
      <c r="BB29" s="594"/>
      <c r="BC29" s="594"/>
      <c r="BD29" s="594"/>
      <c r="BE29" s="594"/>
      <c r="BF29" s="288"/>
      <c r="BG29" s="391"/>
      <c r="BI29" s="391"/>
      <c r="BJ29" s="391"/>
      <c r="BK29" s="391"/>
      <c r="BL29" s="391"/>
      <c r="BM29" s="888" t="e">
        <f>'Punkte-Berechnung'!EO30</f>
        <v>#NUM!</v>
      </c>
      <c r="BN29" s="888" t="e">
        <f>'Punkte-Berechnung'!EP30</f>
        <v>#NUM!</v>
      </c>
      <c r="BO29" s="888" t="e">
        <f>'Punkte-Berechnung'!EQ30</f>
        <v>#NUM!</v>
      </c>
      <c r="BP29" s="888" t="e">
        <f>'Punkte-Berechnung'!ER30</f>
        <v>#NUM!</v>
      </c>
      <c r="BQ29" s="391"/>
      <c r="BR29" s="1225">
        <f t="shared" si="7"/>
        <v>0</v>
      </c>
      <c r="BS29" s="391"/>
      <c r="BT29" s="391"/>
    </row>
    <row r="30" spans="2:72" ht="15.75" customHeight="1" thickBot="1">
      <c r="B30" s="1199"/>
      <c r="C30" s="426"/>
      <c r="D30" s="901" t="s">
        <v>58</v>
      </c>
      <c r="E30" s="900" t="s">
        <v>506</v>
      </c>
      <c r="F30" s="1227">
        <v>3</v>
      </c>
      <c r="G30" s="1226">
        <v>3</v>
      </c>
      <c r="H30" s="562"/>
      <c r="I30" s="563"/>
      <c r="J30" s="563"/>
      <c r="K30" s="564"/>
      <c r="L30" s="490">
        <f>IF($D30&lt;&gt;"",COUNT($H30:$K30)-COUNTIF(H30:K30,"0"),IF(AND($D30="",COUNT(F30:K30)&gt;0),"?",""))</f>
        <v>0</v>
      </c>
      <c r="M30" s="499">
        <f>IF(D30="","",IF(OR(E30="",E30&gt;2),(COUNT(F30:K30)-COUNTIF(H30:K30,"0"))*3/2,3+COUNT(H30:K30)*5/2))</f>
        <v>3</v>
      </c>
      <c r="O30" s="46"/>
      <c r="P30" s="46"/>
      <c r="R30" s="883"/>
      <c r="S30" s="1169" t="str">
        <f t="shared" si="0"/>
        <v>SP</v>
      </c>
      <c r="T30" s="1170">
        <f t="shared" si="1"/>
      </c>
      <c r="U30" s="872">
        <f t="shared" si="2"/>
        <v>3</v>
      </c>
      <c r="V30" s="880">
        <f t="shared" si="3"/>
        <v>3</v>
      </c>
      <c r="W30" s="1163">
        <f>IF('Punkte-Berechnung'!HG31="","",'Punkte-Berechnung'!HG31)</f>
      </c>
      <c r="X30" s="1164">
        <f>IF('Punkte-Berechnung'!HH31="","",'Punkte-Berechnung'!HH31)</f>
      </c>
      <c r="Y30" s="1164">
        <f>IF('Punkte-Berechnung'!HI31="","",'Punkte-Berechnung'!HI31)</f>
      </c>
      <c r="Z30" s="1165">
        <f>IF('Punkte-Berechnung'!HJ31="","",'Punkte-Berechnung'!HJ31)</f>
      </c>
      <c r="AA30" s="884">
        <f t="shared" si="11"/>
      </c>
      <c r="AB30" s="420">
        <f>IF(OR(E30=1,E30=2,S30="",AA30="",AA30=0),"",SUM(W30:Z30))</f>
      </c>
      <c r="AC30" s="494">
        <f t="shared" si="9"/>
      </c>
      <c r="AD30" s="1131"/>
      <c r="AE30" s="1434">
        <f>IF(COUNT('Punkte-Berechnung'!BM11:BP13)=6,"Schwerpunkt FS (9. Pflichtf.)    - die Kurse aus Q2 müssen nach APO-GOSt §11(5) und §28(6) gewertet werden.",IF(COUNT('Punkte-Berechnung'!BM25:BP28)=6,"Schwerpunkt NW ( 9. Pflichtf.) -           die Kurse aus Q2 müssen nach APO-GOSt §11(5) und §28(6) gewertet werden.",""))</f>
      </c>
      <c r="AF30" s="1434"/>
      <c r="AG30" s="1434"/>
      <c r="AH30" s="1434"/>
      <c r="AI30" s="33"/>
      <c r="AJ30" s="903">
        <f t="shared" si="5"/>
        <v>0</v>
      </c>
      <c r="AK30" s="641" t="str">
        <f t="shared" si="6"/>
        <v>0</v>
      </c>
      <c r="AL30" s="61"/>
      <c r="AO30" s="579"/>
      <c r="AP30" s="579"/>
      <c r="AQ30" s="579"/>
      <c r="AR30" s="579"/>
      <c r="AS30" s="588"/>
      <c r="AT30" s="391"/>
      <c r="AU30" s="589"/>
      <c r="AV30" s="391"/>
      <c r="AW30" s="288"/>
      <c r="AX30" s="288"/>
      <c r="AY30" s="288"/>
      <c r="AZ30" s="288"/>
      <c r="BA30" s="288"/>
      <c r="BB30" s="594"/>
      <c r="BC30" s="594"/>
      <c r="BD30" s="594"/>
      <c r="BE30" s="594"/>
      <c r="BF30" s="288"/>
      <c r="BG30" s="391"/>
      <c r="BI30" s="391"/>
      <c r="BJ30" s="391"/>
      <c r="BK30" s="391"/>
      <c r="BL30" s="391"/>
      <c r="BM30" s="888">
        <f>'Punkte-Berechnung'!EO31</f>
      </c>
      <c r="BN30" s="888">
        <f>'Punkte-Berechnung'!EP31</f>
      </c>
      <c r="BO30" s="888">
        <f>'Punkte-Berechnung'!EQ31</f>
      </c>
      <c r="BP30" s="888">
        <f>'Punkte-Berechnung'!ER31</f>
      </c>
      <c r="BQ30" s="391"/>
      <c r="BR30" s="1225">
        <f t="shared" si="7"/>
        <v>0</v>
      </c>
      <c r="BS30" s="391"/>
      <c r="BT30" s="391"/>
    </row>
    <row r="31" spans="2:72" ht="14.25" customHeight="1">
      <c r="B31" s="1307" t="s">
        <v>462</v>
      </c>
      <c r="C31" s="1308"/>
      <c r="D31" s="1285"/>
      <c r="E31" s="620"/>
      <c r="F31" s="1313"/>
      <c r="G31" s="1328"/>
      <c r="H31" s="1352"/>
      <c r="I31" s="1355"/>
      <c r="J31" s="1364"/>
      <c r="K31" s="1345"/>
      <c r="L31" s="1293">
        <f>IF($D31&lt;&gt;"",COUNT($H31:$K31),IF(AND(COUNT(H31:K31)&gt;0,D31=""),"?",""))</f>
      </c>
      <c r="M31" s="1296">
        <f>IF(D31="","",COUNT(H31:K31))</f>
      </c>
      <c r="O31" s="46"/>
      <c r="P31" s="46"/>
      <c r="R31" s="1343" t="s">
        <v>416</v>
      </c>
      <c r="S31" s="1417">
        <f t="shared" si="0"/>
      </c>
      <c r="T31" s="1288">
        <f t="shared" si="1"/>
      </c>
      <c r="U31" s="1399">
        <f t="shared" si="2"/>
      </c>
      <c r="V31" s="1402">
        <f t="shared" si="3"/>
      </c>
      <c r="W31" s="1290">
        <f>IF('Punkte-Berechnung'!GA32="","",'Punkte-Berechnung'!GA32)</f>
      </c>
      <c r="X31" s="1278">
        <f>IF('Punkte-Berechnung'!GB32="","",'Punkte-Berechnung'!GB32)</f>
      </c>
      <c r="Y31" s="1278">
        <f>IF('Punkte-Berechnung'!GC32="","",'Punkte-Berechnung'!GC32)</f>
      </c>
      <c r="Z31" s="1334">
        <f>IF('Punkte-Berechnung'!GD32="","",'Punkte-Berechnung'!GD32)</f>
      </c>
      <c r="AA31" s="1362">
        <f>IF($D31="","",COUNTA(W31:Z31)-COUNTIF(W31:Z31,""))</f>
      </c>
      <c r="AB31" s="1283">
        <f>IF(S31="","",SUM(W31:Z31))</f>
      </c>
      <c r="AC31" s="1332"/>
      <c r="AD31" s="1131"/>
      <c r="AE31" s="1434"/>
      <c r="AF31" s="1434"/>
      <c r="AG31" s="1434"/>
      <c r="AH31" s="1434"/>
      <c r="AI31" s="33"/>
      <c r="AJ31" s="903" t="str">
        <f t="shared" si="5"/>
        <v>0</v>
      </c>
      <c r="AK31" s="641" t="str">
        <f t="shared" si="6"/>
        <v>0</v>
      </c>
      <c r="AL31" s="61"/>
      <c r="AO31" s="579"/>
      <c r="AP31" s="579"/>
      <c r="AQ31" s="579"/>
      <c r="AR31" s="579"/>
      <c r="AS31" s="588"/>
      <c r="AT31" s="391"/>
      <c r="AU31" s="589"/>
      <c r="AV31" s="391"/>
      <c r="AW31" s="288"/>
      <c r="AX31" s="288"/>
      <c r="AY31" s="288"/>
      <c r="AZ31" s="288"/>
      <c r="BA31" s="288"/>
      <c r="BB31" s="594"/>
      <c r="BC31" s="594"/>
      <c r="BD31" s="594"/>
      <c r="BE31" s="594"/>
      <c r="BF31" s="288"/>
      <c r="BG31" s="391"/>
      <c r="BI31" s="391"/>
      <c r="BJ31" s="391"/>
      <c r="BK31" s="391"/>
      <c r="BL31" s="391"/>
      <c r="BM31" s="888"/>
      <c r="BN31" s="888"/>
      <c r="BO31" s="888"/>
      <c r="BP31" s="888"/>
      <c r="BQ31" s="391"/>
      <c r="BR31" s="1225">
        <f t="shared" si="7"/>
        <v>0</v>
      </c>
      <c r="BS31" s="391"/>
      <c r="BT31" s="391"/>
    </row>
    <row r="32" spans="2:72" ht="6" customHeight="1">
      <c r="B32" s="1309"/>
      <c r="C32" s="1310"/>
      <c r="D32" s="1286"/>
      <c r="E32" s="538"/>
      <c r="F32" s="1314"/>
      <c r="G32" s="1329"/>
      <c r="H32" s="1353"/>
      <c r="I32" s="1356"/>
      <c r="J32" s="1365"/>
      <c r="K32" s="1346"/>
      <c r="L32" s="1294"/>
      <c r="M32" s="1297"/>
      <c r="O32" s="46"/>
      <c r="P32" s="46"/>
      <c r="R32" s="1343"/>
      <c r="S32" s="1417"/>
      <c r="T32" s="1288"/>
      <c r="U32" s="1400"/>
      <c r="V32" s="1403"/>
      <c r="W32" s="1291"/>
      <c r="X32" s="1279"/>
      <c r="Y32" s="1279"/>
      <c r="Z32" s="1335"/>
      <c r="AA32" s="1362"/>
      <c r="AB32" s="1283"/>
      <c r="AC32" s="1332"/>
      <c r="AD32" s="1131"/>
      <c r="AE32" s="1434"/>
      <c r="AF32" s="1434"/>
      <c r="AG32" s="1434"/>
      <c r="AH32" s="1434"/>
      <c r="AI32" s="33"/>
      <c r="AJ32" s="335"/>
      <c r="AK32" s="61"/>
      <c r="AL32" s="61"/>
      <c r="AO32" s="579"/>
      <c r="AP32" s="579"/>
      <c r="AQ32" s="579"/>
      <c r="AR32" s="579"/>
      <c r="AS32" s="588"/>
      <c r="AT32" s="391"/>
      <c r="AU32" s="589"/>
      <c r="AV32" s="391"/>
      <c r="AW32" s="288"/>
      <c r="AX32" s="288"/>
      <c r="AY32" s="288"/>
      <c r="AZ32" s="288"/>
      <c r="BA32" s="288"/>
      <c r="BB32" s="594"/>
      <c r="BC32" s="594"/>
      <c r="BD32" s="594"/>
      <c r="BE32" s="594"/>
      <c r="BI32" s="288">
        <f>IF(OR($AX$178=ADDRESS(ROW(BB32),COLUMN(BB32)),BB32=""),"",BB32)</f>
      </c>
      <c r="BJ32" s="288">
        <f>IF(OR($AX$178=ADDRESS(ROW(BC32),COLUMN(BC32)),BC32=""),"",BC32)</f>
      </c>
      <c r="BK32" s="288">
        <f>IF(OR($AX$178=ADDRESS(ROW(BD32),COLUMN(BD32)),BD32=""),"",BD32)</f>
      </c>
      <c r="BL32" s="288">
        <f>IF(OR($AX$178=ADDRESS(ROW(BE32),COLUMN(BE32)),BE32=""),"",BE32)</f>
      </c>
      <c r="BM32" s="288"/>
      <c r="BN32" s="288"/>
      <c r="BO32" s="288"/>
      <c r="BP32" s="391"/>
      <c r="BQ32" s="288">
        <f>IF(OR($AX$179=ADDRESS(ROW(BI32),COLUMN(BI32)),BI32=""),"",BI32)</f>
      </c>
      <c r="BR32" s="288">
        <f>IF(OR($AX$179=ADDRESS(ROW(BJ32),COLUMN(BJ32)),BJ32=""),"",BJ32)</f>
      </c>
      <c r="BS32" s="288">
        <f>IF(OR($AX$179=ADDRESS(ROW(BK32),COLUMN(BK32)),BK32=""),"",BK32)</f>
      </c>
      <c r="BT32" s="288">
        <f>IF(OR($AX$179=ADDRESS(ROW(BL32),COLUMN(BL32)),BL32=""),"",BL32)</f>
      </c>
    </row>
    <row r="33" spans="2:57" ht="6" customHeight="1" thickBot="1">
      <c r="B33" s="1311"/>
      <c r="C33" s="1312"/>
      <c r="D33" s="1287"/>
      <c r="E33" s="539"/>
      <c r="F33" s="1315"/>
      <c r="G33" s="1330"/>
      <c r="H33" s="1354"/>
      <c r="I33" s="1357"/>
      <c r="J33" s="1366"/>
      <c r="K33" s="1347"/>
      <c r="L33" s="1295"/>
      <c r="M33" s="1298"/>
      <c r="O33" s="46"/>
      <c r="P33" s="46"/>
      <c r="R33" s="1344"/>
      <c r="S33" s="1418"/>
      <c r="T33" s="1289"/>
      <c r="U33" s="1401"/>
      <c r="V33" s="1404"/>
      <c r="W33" s="1292"/>
      <c r="X33" s="1280"/>
      <c r="Y33" s="1280"/>
      <c r="Z33" s="1336"/>
      <c r="AA33" s="1363"/>
      <c r="AB33" s="1284"/>
      <c r="AC33" s="1333"/>
      <c r="AD33" s="1131"/>
      <c r="AE33" s="1434"/>
      <c r="AF33" s="1434"/>
      <c r="AG33" s="1434"/>
      <c r="AH33" s="1434"/>
      <c r="AI33" s="33"/>
      <c r="AJ33" s="335"/>
      <c r="AK33" s="61"/>
      <c r="AL33" s="61"/>
      <c r="AO33" s="579"/>
      <c r="AP33" s="579"/>
      <c r="AQ33" s="579"/>
      <c r="AR33" s="579"/>
      <c r="AS33" s="588"/>
      <c r="AT33" s="391"/>
      <c r="AU33" s="589"/>
      <c r="AV33" s="391"/>
      <c r="AW33" s="288"/>
      <c r="AX33" s="288"/>
      <c r="AY33" s="288"/>
      <c r="AZ33" s="288"/>
      <c r="BA33" s="288"/>
      <c r="BB33" s="594"/>
      <c r="BC33" s="594"/>
      <c r="BD33" s="594"/>
      <c r="BE33" s="594"/>
    </row>
    <row r="34" spans="2:57" ht="15.75" customHeight="1" thickBot="1">
      <c r="B34" s="1322" t="s">
        <v>363</v>
      </c>
      <c r="C34" s="1323"/>
      <c r="D34" s="541"/>
      <c r="E34" s="538"/>
      <c r="F34" s="440"/>
      <c r="G34" s="431"/>
      <c r="H34" s="905"/>
      <c r="I34" s="906"/>
      <c r="J34" s="907"/>
      <c r="K34" s="908"/>
      <c r="L34" s="271">
        <f>IF(AND($D34="",COUNT(F34:I34)&gt;0),"?","")</f>
      </c>
      <c r="M34" s="43">
        <f>IF(D34="","",SUM(F34:K34)*1/2)</f>
      </c>
      <c r="O34" s="46"/>
      <c r="P34" s="46"/>
      <c r="R34" s="1305" t="s">
        <v>192</v>
      </c>
      <c r="S34" s="1171">
        <f aca="true" t="shared" si="12" ref="S34:T36">IF(D34="","",D34)</f>
      </c>
      <c r="T34" s="1172">
        <f t="shared" si="12"/>
      </c>
      <c r="U34" s="259">
        <f aca="true" t="shared" si="13" ref="U34:V36">IF(F34="","",F34)</f>
      </c>
      <c r="V34" s="881">
        <f t="shared" si="13"/>
      </c>
      <c r="W34" s="1127">
        <f>IF('Punkte-Berechnung'!AA139="","",'Punkte-Berechnung'!AA139)</f>
      </c>
      <c r="X34" s="1173">
        <f>IF('Punkte-Berechnung'!AB139="","",'Punkte-Berechnung'!AB139)</f>
      </c>
      <c r="Y34" s="1173">
        <f>IF('Punkte-Berechnung'!AC139="","",'Punkte-Berechnung'!AC139)</f>
      </c>
      <c r="Z34" s="1160">
        <f>IF('Punkte-Berechnung'!AD139="","",'Punkte-Berechnung'!AD139)</f>
      </c>
      <c r="AA34" s="257"/>
      <c r="AB34" s="1174"/>
      <c r="AC34" s="339"/>
      <c r="AD34" s="79"/>
      <c r="AE34" s="1434"/>
      <c r="AF34" s="1434"/>
      <c r="AG34" s="1434"/>
      <c r="AH34" s="1434"/>
      <c r="AI34" s="33"/>
      <c r="AJ34" s="33"/>
      <c r="AK34" s="61"/>
      <c r="AL34" s="61"/>
      <c r="AO34" s="579"/>
      <c r="AP34" s="579"/>
      <c r="AQ34" s="579"/>
      <c r="AR34" s="579"/>
      <c r="AS34" s="588"/>
      <c r="AT34" s="391"/>
      <c r="AU34" s="391"/>
      <c r="AV34" s="391"/>
      <c r="AW34" s="288"/>
      <c r="AX34" s="288"/>
      <c r="AY34" s="288"/>
      <c r="AZ34" s="288"/>
      <c r="BA34" s="288"/>
      <c r="BB34" s="288"/>
      <c r="BC34" s="288"/>
      <c r="BD34" s="288"/>
      <c r="BE34" s="288"/>
    </row>
    <row r="35" spans="2:70" ht="15.75" thickBot="1">
      <c r="B35" s="1324"/>
      <c r="C35" s="1325"/>
      <c r="D35" s="541"/>
      <c r="E35" s="536"/>
      <c r="F35" s="440"/>
      <c r="G35" s="431"/>
      <c r="H35" s="909"/>
      <c r="I35" s="910"/>
      <c r="J35" s="911"/>
      <c r="K35" s="912"/>
      <c r="L35" s="271">
        <f>IF(AND($D35="",COUNT(F35:I35)&gt;0),"?","")</f>
      </c>
      <c r="M35" s="43">
        <f>IF(D35="","",SUM(F35:K35)*1/2)</f>
      </c>
      <c r="O35" s="46"/>
      <c r="P35" s="46"/>
      <c r="R35" s="1306"/>
      <c r="S35" s="1143">
        <f t="shared" si="12"/>
      </c>
      <c r="T35" s="536">
        <f t="shared" si="12"/>
      </c>
      <c r="U35" s="351">
        <f t="shared" si="13"/>
      </c>
      <c r="V35" s="877">
        <f t="shared" si="13"/>
      </c>
      <c r="W35" s="1127">
        <f>IF('Punkte-Berechnung'!AA140="","",'Punkte-Berechnung'!AA140)</f>
      </c>
      <c r="X35" s="1173">
        <f>IF('Punkte-Berechnung'!AB140="","",'Punkte-Berechnung'!AB140)</f>
      </c>
      <c r="Y35" s="1173">
        <f>IF('Punkte-Berechnung'!AC140="","",'Punkte-Berechnung'!AC140)</f>
      </c>
      <c r="Z35" s="1160">
        <f>IF('Punkte-Berechnung'!AD140="","",'Punkte-Berechnung'!AD140)</f>
      </c>
      <c r="AA35" s="50"/>
      <c r="AB35" s="1175"/>
      <c r="AC35" s="341"/>
      <c r="AD35" s="79"/>
      <c r="AE35" s="46"/>
      <c r="AF35" s="46"/>
      <c r="AG35" s="46"/>
      <c r="AH35" s="46"/>
      <c r="AI35" s="33"/>
      <c r="AJ35" s="33"/>
      <c r="AK35" s="61"/>
      <c r="AL35" s="61"/>
      <c r="AO35" s="579"/>
      <c r="AP35" s="579"/>
      <c r="AQ35" s="579"/>
      <c r="AR35" s="579"/>
      <c r="AS35" s="588"/>
      <c r="AT35" s="391"/>
      <c r="AU35" s="391"/>
      <c r="AV35" s="391"/>
      <c r="BQ35" s="94" t="s">
        <v>515</v>
      </c>
      <c r="BR35" t="str">
        <f>IF(SUM(BR9:BR31)=0,"W","F")</f>
        <v>W</v>
      </c>
    </row>
    <row r="36" spans="2:48" ht="15.75" thickBot="1">
      <c r="B36" s="1326"/>
      <c r="C36" s="1327"/>
      <c r="D36" s="545"/>
      <c r="E36" s="539"/>
      <c r="F36" s="441"/>
      <c r="G36" s="442"/>
      <c r="H36" s="913"/>
      <c r="I36" s="914"/>
      <c r="J36" s="915"/>
      <c r="K36" s="916"/>
      <c r="L36" s="271">
        <f>IF(AND($D36="",COUNT(F36:I36)&gt;0),"?","")</f>
      </c>
      <c r="M36" s="280">
        <f>IF(D36="","",SUM(F36:K36)*1/2)</f>
      </c>
      <c r="O36" s="1217">
        <f>IF(OR(O37&lt;&gt;"",O38&lt;&gt;""),"Defizit(e) :","")</f>
      </c>
      <c r="P36" s="46"/>
      <c r="R36" s="1306"/>
      <c r="S36" s="1176">
        <f t="shared" si="12"/>
      </c>
      <c r="T36" s="1177">
        <f t="shared" si="12"/>
      </c>
      <c r="U36" s="868">
        <f t="shared" si="13"/>
      </c>
      <c r="V36" s="882">
        <f t="shared" si="13"/>
      </c>
      <c r="W36" s="1178">
        <f>IF('Punkte-Berechnung'!AA141="","",'Punkte-Berechnung'!AA141)</f>
      </c>
      <c r="X36" s="1179">
        <f>IF('Punkte-Berechnung'!AB141="","",'Punkte-Berechnung'!AB141)</f>
      </c>
      <c r="Y36" s="1179">
        <f>IF('Punkte-Berechnung'!AC141="","",'Punkte-Berechnung'!AC141)</f>
      </c>
      <c r="Z36" s="1180">
        <f>IF('Punkte-Berechnung'!AD141="","",'Punkte-Berechnung'!AD141)</f>
      </c>
      <c r="AA36" s="885"/>
      <c r="AB36" s="1181"/>
      <c r="AC36" s="343"/>
      <c r="AD36" s="79"/>
      <c r="AE36" s="1331" t="str">
        <f>IF(OR(AE37&lt;&gt;0,AE38&lt;&gt;0),"Defizit(e) - anzurechnen:"," ")</f>
        <v> </v>
      </c>
      <c r="AF36" s="1331"/>
      <c r="AG36" s="1331"/>
      <c r="AH36" s="46"/>
      <c r="AI36" s="33"/>
      <c r="AJ36" s="33"/>
      <c r="AK36" s="641" t="str">
        <f>Belegkontrolle!R11</f>
        <v>W</v>
      </c>
      <c r="AL36" s="61"/>
      <c r="AO36" s="579"/>
      <c r="AP36" s="579"/>
      <c r="AQ36" s="579"/>
      <c r="AR36" s="579"/>
      <c r="AS36" s="588"/>
      <c r="AT36" s="391"/>
      <c r="AU36" s="391"/>
      <c r="AV36" s="391"/>
    </row>
    <row r="37" spans="2:48" ht="15" customHeight="1">
      <c r="B37" s="1316">
        <f>IF(L39&lt;35,"",IF(AND(AE6="",AE9="",AE11="",L39&gt;37,ISNA(Belegkontrolle!A12)=TRUE),"C","L"))</f>
      </c>
      <c r="C37" s="1299" t="s">
        <v>18</v>
      </c>
      <c r="D37" s="1300"/>
      <c r="E37" s="1301"/>
      <c r="F37" s="310">
        <f>SUM(F9:F36)</f>
        <v>34</v>
      </c>
      <c r="G37" s="311">
        <f>SUM(G9:G36)</f>
        <v>34</v>
      </c>
      <c r="H37" s="312">
        <f>IF(OR(ISNA(MATCH(1,E9:E30,0))=TRUE,ISNA(MATCH(2,E9:E30,0)=TRUE)),"",IF(OR(VLOOKUP(1,E9:H30,4,FALSE)="0",VLOOKUP(2,E9:H30,4,FALSE)="0",COUNT(H9:H30)=0),"",COUNT(H9:H30)*3+SUM(Belegkontrolle!J17:J21)))</f>
      </c>
      <c r="I37" s="312">
        <f>IF(OR(ISNA(MATCH(1,E9:E30,0))=TRUE,ISNA(MATCH(2,E9:E30,0)=TRUE)),"",IF(OR(VLOOKUP(1,E9:I30,5,FALSE)="0",VLOOKUP(2,E9:I30,5,FALSE)="0",COUNT(I9:I30)=0),"",COUNT(I9:I30)*3+SUM(Belegkontrolle!K17:K21)))</f>
      </c>
      <c r="J37" s="312">
        <f>IF(OR(ISNA(MATCH(1,E9:E30,0))=TRUE,ISNA(MATCH(2,E9:E30,0)=TRUE)),"",IF(OR(VLOOKUP(1,E9:J30,6,FALSE)="0",VLOOKUP(2,E9:J30,6,FALSE)="0",COUNT(J9:J30)=0),"",COUNT(J9:J30)*3+SUM(Belegkontrolle!L17:L21)))</f>
      </c>
      <c r="K37" s="312">
        <f>IF(OR(ISNA(MATCH(1,E9:E30,0))=TRUE,ISNA(MATCH(2,E9:E30,0)=TRUE)),"",IF(OR(VLOOKUP(1,E9:K30,7,FALSE)="0",VLOOKUP(2,E9:K30,7,FALSE)="0",COUNT(K9:K30)=0),"",COUNT(K9:K30)*3+SUM(Belegkontrolle!M17:M21)))</f>
      </c>
      <c r="L37" s="1208"/>
      <c r="M37" s="1209"/>
      <c r="O37" s="1218">
        <f>IF(Belegkontrolle!U16=0,"",Belegkontrolle!U16)</f>
      </c>
      <c r="P37" s="1218">
        <f>IF(O37="","",IF(O37=1,"im Lk","in Lk's"))</f>
      </c>
      <c r="R37" s="316"/>
      <c r="S37" s="395"/>
      <c r="T37" s="317" t="s">
        <v>243</v>
      </c>
      <c r="U37" s="1318" t="s">
        <v>177</v>
      </c>
      <c r="V37" s="1319"/>
      <c r="W37" s="506">
        <f>COUNT(W9:W33)</f>
        <v>0</v>
      </c>
      <c r="X37" s="506">
        <f>COUNT(X9:X33)</f>
        <v>0</v>
      </c>
      <c r="Y37" s="506">
        <f>COUNT(Y9:Y33)</f>
        <v>0</v>
      </c>
      <c r="Z37" s="513">
        <f>COUNT(Z9:Z33)</f>
        <v>0</v>
      </c>
      <c r="AA37" s="1182">
        <f>SUM(W37:Z37)</f>
        <v>0</v>
      </c>
      <c r="AB37" s="1183">
        <f>SUM(AB9:AB33)</f>
        <v>0</v>
      </c>
      <c r="AC37" s="84">
        <f>SUM(AC9:AC30)</f>
        <v>0</v>
      </c>
      <c r="AD37" s="85"/>
      <c r="AE37" s="40">
        <f>SUM(AK9:AK31)</f>
        <v>0</v>
      </c>
      <c r="AF37" s="40">
        <f>IF(AE37=0,"","im Lk-Bereich")</f>
      </c>
      <c r="AG37" s="46"/>
      <c r="AH37" s="46"/>
      <c r="AI37" s="33"/>
      <c r="AJ37" s="33"/>
      <c r="AK37" s="61"/>
      <c r="AL37" s="61"/>
      <c r="AO37" s="591"/>
      <c r="AP37" s="591"/>
      <c r="AQ37" s="591"/>
      <c r="AR37" s="591"/>
      <c r="AS37" s="579"/>
      <c r="AT37" s="391"/>
      <c r="AU37" s="391"/>
      <c r="AV37" s="391"/>
    </row>
    <row r="38" spans="2:48" ht="15.75" customHeight="1" thickBot="1">
      <c r="B38" s="1317"/>
      <c r="C38" s="1302"/>
      <c r="D38" s="1303"/>
      <c r="E38" s="1304"/>
      <c r="F38" s="1320">
        <f>(F37+G37)/2</f>
        <v>34</v>
      </c>
      <c r="G38" s="1321"/>
      <c r="H38" s="1338">
        <f>IF(OR(H37="",I37=""),"",(H37+I37)/2)</f>
      </c>
      <c r="I38" s="1339"/>
      <c r="J38" s="1340">
        <f>IF(OR(J37="",K37=""),"",(J37+K37)/2)</f>
      </c>
      <c r="K38" s="1339"/>
      <c r="L38" s="1210"/>
      <c r="M38" s="302">
        <f>IF(RIGHT(TEXT(SUM(M9:M36),",0"))="0",INT(SUM(M9:M36)),SUM(M9:M36))</f>
        <v>34</v>
      </c>
      <c r="O38" s="1218">
        <f>IF(Belegkontrolle!T16=0,"",Belegkontrolle!T16)</f>
      </c>
      <c r="P38" s="1218">
        <f>IF(O38="","",IF(O38=1,"im Gk","in Gk's"))</f>
      </c>
      <c r="R38" s="1184"/>
      <c r="S38" s="1185"/>
      <c r="T38" s="1186" t="s">
        <v>73</v>
      </c>
      <c r="U38" s="1341">
        <f>SUM(U9:V30)/2</f>
        <v>34</v>
      </c>
      <c r="V38" s="1342"/>
      <c r="W38" s="308">
        <f>IF(W30="(AT)",COUNTA(W9:W31)+3-COUNTIF(W9:W31,"")-1,COUNTA(W9:W31)+3-COUNTIF(W9:W31,""))</f>
        <v>0</v>
      </c>
      <c r="X38" s="308">
        <f>IF(X30="(AT)",COUNTA(X9:X31)+3-COUNTIF(X9:X31,"")-1,COUNTA(X9:X31)+3-COUNTIF(X9:X31,""))</f>
        <v>0</v>
      </c>
      <c r="Y38" s="308">
        <f>IF(Y30="(AT)",COUNTA(Y9:Y31)+1-COUNTIF(Y9:Y31,"")-1,COUNTA(Y9:Y31)+1-COUNTIF(Y9:Y31,""))</f>
        <v>0</v>
      </c>
      <c r="Z38" s="309">
        <f>IF(Z30="(AT)",COUNTA(Z9:Z31)+1-COUNTIF(Z9:Z31,"")-1,COUNTA(Z9:Z31)+1-COUNTIF(Z9:Z31,""))</f>
        <v>0</v>
      </c>
      <c r="AA38" s="54">
        <f>SUM(AA9:AA33)</f>
        <v>0</v>
      </c>
      <c r="AB38" s="1277">
        <f>AB37+AC37</f>
        <v>0</v>
      </c>
      <c r="AC38" s="1277"/>
      <c r="AD38" s="46"/>
      <c r="AE38" s="40">
        <f>SUM(AJ9:AJ33)</f>
        <v>0</v>
      </c>
      <c r="AF38" s="40">
        <f>IF(AE38=0,"","im Gk-Bereich")</f>
      </c>
      <c r="AG38" s="46"/>
      <c r="AH38" s="46"/>
      <c r="AI38" s="33"/>
      <c r="AJ38" s="33"/>
      <c r="AK38" s="61"/>
      <c r="AL38" s="61"/>
      <c r="AO38" s="391"/>
      <c r="AP38" s="391"/>
      <c r="AQ38" s="391"/>
      <c r="AR38" s="391"/>
      <c r="AS38" s="391"/>
      <c r="AT38" s="592"/>
      <c r="AU38" s="391"/>
      <c r="AV38" s="391"/>
    </row>
    <row r="39" spans="2:38" ht="24.75" customHeight="1" thickBot="1">
      <c r="B39" s="1212"/>
      <c r="C39" s="1188"/>
      <c r="D39" s="1213"/>
      <c r="E39" s="1214"/>
      <c r="F39" s="1214"/>
      <c r="G39" s="1215" t="s">
        <v>248</v>
      </c>
      <c r="H39" s="1216">
        <f>COUNT(H9:H31)</f>
        <v>0</v>
      </c>
      <c r="I39" s="1216">
        <f>COUNT(I9:I33)</f>
        <v>0</v>
      </c>
      <c r="J39" s="1216">
        <f>COUNT(J9:J33)</f>
        <v>0</v>
      </c>
      <c r="K39" s="1216">
        <f>COUNT(K9:K33)</f>
        <v>0</v>
      </c>
      <c r="L39" s="297">
        <f>SUM(L9:L36)</f>
        <v>0</v>
      </c>
      <c r="M39" s="1211"/>
      <c r="O39" s="46"/>
      <c r="P39" s="46"/>
      <c r="R39" s="1405" t="s">
        <v>436</v>
      </c>
      <c r="S39" s="1406"/>
      <c r="T39" s="1406"/>
      <c r="U39" s="1406"/>
      <c r="V39" s="1406"/>
      <c r="W39" s="1410" t="str">
        <f>AB38&amp;" : "&amp;AA37+8&amp;" ="</f>
        <v>0 : 8 =</v>
      </c>
      <c r="X39" s="1410"/>
      <c r="Y39" s="1187">
        <f>AB38/(AA37+8)</f>
        <v>0</v>
      </c>
      <c r="Z39" s="1281" t="str">
        <f>ROUND(Y39,2)&amp;" * 40 ="</f>
        <v>0 * 40 =</v>
      </c>
      <c r="AA39" s="1282"/>
      <c r="AB39" s="1348">
        <f>IF(AB38&lt;100,"",Y39*40)</f>
      </c>
      <c r="AC39" s="1348"/>
      <c r="AD39" s="1189"/>
      <c r="AE39" s="1337">
        <f ca="1">IF(ISNA(MATCH("IV",D14:D16,0))=TRUE,"",IF(COUNT(INDIRECT("H"&amp;MATCH("IV",D14:D16,0)+13):INDIRECT("K"&amp;MATCH("IV",D14:D16,0)+13))&gt;2,"Im Orch./Chor gelten nur 2 Kurse als belegt, weitere sind reine AG's",""))</f>
      </c>
      <c r="AF39" s="1337"/>
      <c r="AG39" s="1337"/>
      <c r="AH39" s="1337"/>
      <c r="AI39" s="33"/>
      <c r="AJ39" s="33"/>
      <c r="AK39" s="61"/>
      <c r="AL39" s="61"/>
    </row>
    <row r="40" spans="22:38" ht="12.75">
      <c r="V40" s="33"/>
      <c r="W40" s="33"/>
      <c r="X40" s="33"/>
      <c r="AG40" s="33"/>
      <c r="AH40" s="33"/>
      <c r="AI40" s="33"/>
      <c r="AJ40" s="33"/>
      <c r="AK40" s="61"/>
      <c r="AL40" s="61"/>
    </row>
    <row r="41" spans="22:72" ht="16.5" customHeight="1">
      <c r="V41" s="33"/>
      <c r="W41" s="33"/>
      <c r="X41" s="33"/>
      <c r="AG41" s="33"/>
      <c r="AH41" s="33"/>
      <c r="AI41" s="33"/>
      <c r="AJ41" s="33"/>
      <c r="AK41" s="61"/>
      <c r="AL41" s="61"/>
      <c r="AM41" s="61"/>
      <c r="AN41" s="61"/>
      <c r="AO41" s="61"/>
      <c r="AP41" s="61"/>
      <c r="AQ41" s="61"/>
      <c r="AR41" s="61"/>
      <c r="AS41" s="61"/>
      <c r="AT41" s="61"/>
      <c r="AU41" s="61"/>
      <c r="AV41" s="61"/>
      <c r="AW41" s="61"/>
      <c r="AX41" s="61"/>
      <c r="AY41" s="61"/>
      <c r="AZ41" s="61"/>
      <c r="BA41" s="61"/>
      <c r="BB41" s="61"/>
      <c r="BC41" s="61"/>
      <c r="BD41" s="61"/>
      <c r="BE41" s="61"/>
      <c r="BF41" s="61"/>
      <c r="BG41" s="248"/>
      <c r="BH41" s="255"/>
      <c r="BI41" s="61"/>
      <c r="BJ41" s="61"/>
      <c r="BK41" s="61"/>
      <c r="BL41" s="61"/>
      <c r="BM41" s="61"/>
      <c r="BN41" s="61"/>
      <c r="BO41" s="61"/>
      <c r="BP41" s="61"/>
      <c r="BQ41" s="61"/>
      <c r="BR41" s="33"/>
      <c r="BS41" s="33"/>
      <c r="BT41" s="33"/>
    </row>
    <row r="42" spans="2:72" s="324" customFormat="1" ht="12" customHeight="1">
      <c r="B42" s="663"/>
      <c r="C42" s="663"/>
      <c r="D42" s="663"/>
      <c r="E42" s="663"/>
      <c r="F42" s="663"/>
      <c r="G42" s="663"/>
      <c r="H42" s="663"/>
      <c r="I42" s="663"/>
      <c r="J42" s="663"/>
      <c r="K42" s="663"/>
      <c r="L42" s="663"/>
      <c r="M42" s="663"/>
      <c r="N42" s="663"/>
      <c r="O42" s="663"/>
      <c r="P42" s="663"/>
      <c r="Q42" s="663"/>
      <c r="R42" s="663"/>
      <c r="S42" s="663"/>
      <c r="T42" s="663"/>
      <c r="U42" s="663"/>
      <c r="V42" s="663"/>
      <c r="W42" s="664"/>
      <c r="X42" s="664"/>
      <c r="Y42" s="664"/>
      <c r="Z42" s="664"/>
      <c r="AA42" s="664"/>
      <c r="AB42" s="664"/>
      <c r="AC42" s="664"/>
      <c r="AD42" s="664"/>
      <c r="AE42" s="664"/>
      <c r="AF42" s="664"/>
      <c r="AG42" s="664"/>
      <c r="AH42" s="664"/>
      <c r="AI42" s="664"/>
      <c r="AJ42" s="664"/>
      <c r="AK42" s="664"/>
      <c r="AL42" s="664"/>
      <c r="AM42" s="664"/>
      <c r="AN42" s="664"/>
      <c r="AO42" s="664"/>
      <c r="AP42" s="664"/>
      <c r="AQ42" s="391"/>
      <c r="AR42" s="664"/>
      <c r="AS42" s="664"/>
      <c r="AT42" s="664"/>
      <c r="AU42" s="664"/>
      <c r="AV42" s="664"/>
      <c r="AW42" s="664"/>
      <c r="AX42" s="664"/>
      <c r="AY42" s="664"/>
      <c r="AZ42" s="664"/>
      <c r="BA42" s="664"/>
      <c r="BB42" s="391"/>
      <c r="BC42" s="664"/>
      <c r="BD42" s="664"/>
      <c r="BE42" s="664"/>
      <c r="BF42" s="664"/>
      <c r="BG42" s="664"/>
      <c r="BH42" s="664"/>
      <c r="BI42" s="664"/>
      <c r="BJ42" s="664"/>
      <c r="BK42" s="664"/>
      <c r="BL42" s="664"/>
      <c r="BM42" s="664"/>
      <c r="BN42" s="664"/>
      <c r="BO42" s="664"/>
      <c r="BP42" s="664"/>
      <c r="BQ42" s="664"/>
      <c r="BR42" s="664"/>
      <c r="BS42" s="664"/>
      <c r="BT42" s="665"/>
    </row>
    <row r="43" spans="2:69" s="324" customFormat="1" ht="12" customHeight="1">
      <c r="B43" s="640"/>
      <c r="C43" s="640"/>
      <c r="D43" s="640"/>
      <c r="E43" s="640"/>
      <c r="F43" s="640"/>
      <c r="G43" s="640"/>
      <c r="H43" s="640"/>
      <c r="I43" s="640"/>
      <c r="J43" s="640"/>
      <c r="K43" s="640"/>
      <c r="L43" s="640"/>
      <c r="M43" s="640"/>
      <c r="N43" s="640"/>
      <c r="O43" s="640"/>
      <c r="P43" s="640"/>
      <c r="Q43" s="640"/>
      <c r="R43" s="63"/>
      <c r="S43" s="62"/>
      <c r="T43" s="650"/>
      <c r="U43" s="650"/>
      <c r="Y43" s="255"/>
      <c r="Z43" s="255"/>
      <c r="AA43" s="255"/>
      <c r="AB43" s="255"/>
      <c r="AC43" s="255"/>
      <c r="AD43" s="255"/>
      <c r="AE43" s="255"/>
      <c r="AF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row>
    <row r="44" spans="2:72" s="324" customFormat="1" ht="12" customHeight="1">
      <c r="B44" s="754"/>
      <c r="C44" s="754"/>
      <c r="D44" s="754"/>
      <c r="E44" s="754"/>
      <c r="F44" s="754"/>
      <c r="G44" s="754"/>
      <c r="H44" s="754"/>
      <c r="I44" s="754"/>
      <c r="J44" s="754"/>
      <c r="K44" s="754"/>
      <c r="L44" s="754"/>
      <c r="M44" s="754"/>
      <c r="N44" s="668"/>
      <c r="O44" s="640"/>
      <c r="P44" s="640"/>
      <c r="Q44" s="640"/>
      <c r="R44" s="755"/>
      <c r="S44" s="755"/>
      <c r="T44" s="650"/>
      <c r="U44" s="64"/>
      <c r="W44" s="658"/>
      <c r="X44" s="645"/>
      <c r="Y44" s="645"/>
      <c r="Z44" s="651"/>
      <c r="AA44" s="651"/>
      <c r="AB44" s="651"/>
      <c r="AC44" s="651"/>
      <c r="AD44" s="651"/>
      <c r="AE44" s="651"/>
      <c r="AF44" s="651"/>
      <c r="AG44" s="645"/>
      <c r="AH44" s="645"/>
      <c r="AI44" s="651"/>
      <c r="AJ44" s="651"/>
      <c r="AK44" s="645"/>
      <c r="AL44" s="645"/>
      <c r="AM44" s="645"/>
      <c r="AN44" s="645"/>
      <c r="AO44" s="645"/>
      <c r="AP44" s="645"/>
      <c r="AQ44" s="645"/>
      <c r="AR44" s="391"/>
      <c r="AS44" s="645"/>
      <c r="AT44" s="645"/>
      <c r="AU44" s="645"/>
      <c r="AV44" s="391"/>
      <c r="AW44" s="391"/>
      <c r="AX44" s="645"/>
      <c r="AY44" s="645"/>
      <c r="AZ44" s="645"/>
      <c r="BA44" s="645"/>
      <c r="BB44" s="645"/>
      <c r="BC44" s="645"/>
      <c r="BD44" s="645"/>
      <c r="BE44" s="645"/>
      <c r="BF44" s="645"/>
      <c r="BG44" s="651"/>
      <c r="BH44" s="406"/>
      <c r="BI44" s="645"/>
      <c r="BJ44" s="645"/>
      <c r="BK44" s="645"/>
      <c r="BL44" s="645"/>
      <c r="BM44" s="651"/>
      <c r="BN44" s="645"/>
      <c r="BO44" s="645"/>
      <c r="BP44" s="645"/>
      <c r="BQ44" s="645"/>
      <c r="BR44" s="645"/>
      <c r="BS44" s="645"/>
      <c r="BT44" s="651"/>
    </row>
    <row r="45" spans="2:69" s="324" customFormat="1" ht="12" customHeight="1">
      <c r="B45" s="640"/>
      <c r="C45" s="640"/>
      <c r="D45" s="640"/>
      <c r="E45" s="640"/>
      <c r="F45" s="640"/>
      <c r="G45" s="640"/>
      <c r="H45" s="640"/>
      <c r="I45" s="640"/>
      <c r="J45" s="640"/>
      <c r="K45" s="640"/>
      <c r="L45" s="640"/>
      <c r="M45" s="640"/>
      <c r="N45" s="640"/>
      <c r="O45" s="640"/>
      <c r="P45" s="640"/>
      <c r="Q45" s="640"/>
      <c r="R45" s="63"/>
      <c r="S45" s="62"/>
      <c r="T45" s="650"/>
      <c r="U45" s="64"/>
      <c r="X45" s="645"/>
      <c r="Y45" s="255"/>
      <c r="Z45" s="255"/>
      <c r="AA45" s="255"/>
      <c r="AB45" s="255"/>
      <c r="AC45" s="255"/>
      <c r="AD45" s="255"/>
      <c r="AE45" s="255"/>
      <c r="AF45" s="255"/>
      <c r="AK45" s="255"/>
      <c r="AL45" s="255"/>
      <c r="AM45" s="255"/>
      <c r="AN45" s="255"/>
      <c r="AO45" s="255"/>
      <c r="AP45" s="255"/>
      <c r="AQ45" s="255"/>
      <c r="AR45" s="255"/>
      <c r="AS45" s="255"/>
      <c r="AT45" s="255"/>
      <c r="AU45" s="255"/>
      <c r="AV45" s="255"/>
      <c r="AW45" s="255"/>
      <c r="AX45" s="255"/>
      <c r="AY45" s="255"/>
      <c r="AZ45" s="255"/>
      <c r="BA45" s="255"/>
      <c r="BB45" s="255"/>
      <c r="BC45" s="255"/>
      <c r="BD45" s="255"/>
      <c r="BE45" s="255"/>
      <c r="BF45" s="255"/>
      <c r="BG45" s="255"/>
      <c r="BH45" s="255"/>
      <c r="BI45" s="255"/>
      <c r="BJ45" s="255"/>
      <c r="BK45" s="255"/>
      <c r="BL45" s="255"/>
      <c r="BM45" s="255"/>
      <c r="BN45" s="645"/>
      <c r="BO45" s="645"/>
      <c r="BP45" s="391"/>
      <c r="BQ45" s="391"/>
    </row>
    <row r="46" spans="2:69" s="324" customFormat="1" ht="12" customHeight="1">
      <c r="B46" s="448"/>
      <c r="C46" s="135"/>
      <c r="D46" s="135"/>
      <c r="E46" s="135"/>
      <c r="F46" s="135"/>
      <c r="G46" s="135"/>
      <c r="H46" s="135"/>
      <c r="I46" s="135"/>
      <c r="J46" s="135"/>
      <c r="K46" s="135"/>
      <c r="L46" s="135"/>
      <c r="M46" s="135"/>
      <c r="O46" s="682"/>
      <c r="P46" s="682"/>
      <c r="R46" s="64"/>
      <c r="S46" s="64"/>
      <c r="T46" s="64"/>
      <c r="U46" s="64"/>
      <c r="X46" s="645"/>
      <c r="Y46" s="255"/>
      <c r="Z46" s="255"/>
      <c r="AA46" s="255"/>
      <c r="AB46" s="255"/>
      <c r="AC46" s="255"/>
      <c r="AD46" s="255"/>
      <c r="AE46" s="255"/>
      <c r="AF46" s="255"/>
      <c r="AG46" s="645"/>
      <c r="AH46" s="645"/>
      <c r="AK46" s="255"/>
      <c r="AL46" s="255"/>
      <c r="AM46" s="255"/>
      <c r="AN46" s="255"/>
      <c r="AO46" s="255"/>
      <c r="AP46" s="255"/>
      <c r="AQ46" s="255"/>
      <c r="AR46" s="255"/>
      <c r="AS46" s="255"/>
      <c r="AT46" s="255"/>
      <c r="AU46" s="255"/>
      <c r="AV46" s="255"/>
      <c r="AW46" s="255"/>
      <c r="AX46" s="255"/>
      <c r="AY46" s="255"/>
      <c r="AZ46" s="255"/>
      <c r="BA46" s="645"/>
      <c r="BB46" s="255"/>
      <c r="BC46" s="255"/>
      <c r="BD46" s="255"/>
      <c r="BE46" s="255"/>
      <c r="BF46" s="391"/>
      <c r="BG46" s="734"/>
      <c r="BH46" s="645"/>
      <c r="BI46" s="391"/>
      <c r="BJ46" s="391"/>
      <c r="BK46" s="255"/>
      <c r="BL46" s="255"/>
      <c r="BM46" s="255"/>
      <c r="BN46" s="645"/>
      <c r="BO46" s="645"/>
      <c r="BP46" s="391"/>
      <c r="BQ46" s="391"/>
    </row>
    <row r="47" spans="2:69" s="324" customFormat="1" ht="12" customHeight="1">
      <c r="B47" s="373"/>
      <c r="C47" s="756"/>
      <c r="D47" s="757"/>
      <c r="E47" s="757"/>
      <c r="F47" s="757"/>
      <c r="G47" s="757"/>
      <c r="H47" s="373"/>
      <c r="I47" s="373"/>
      <c r="J47" s="373"/>
      <c r="K47" s="373"/>
      <c r="L47" s="758"/>
      <c r="M47" s="758"/>
      <c r="N47" s="51"/>
      <c r="O47" s="682"/>
      <c r="P47" s="682"/>
      <c r="Q47" s="373"/>
      <c r="R47" s="64"/>
      <c r="S47" s="64"/>
      <c r="T47" s="64"/>
      <c r="U47" s="64"/>
      <c r="Y47" s="255"/>
      <c r="Z47" s="255"/>
      <c r="AA47" s="255"/>
      <c r="AB47" s="255"/>
      <c r="AC47" s="255"/>
      <c r="AD47" s="255"/>
      <c r="AE47" s="255"/>
      <c r="AF47" s="669"/>
      <c r="AG47" s="645"/>
      <c r="AH47" s="670"/>
      <c r="AK47" s="255"/>
      <c r="AL47" s="255"/>
      <c r="AM47" s="255"/>
      <c r="AN47" s="255"/>
      <c r="AO47" s="255"/>
      <c r="AP47" s="255"/>
      <c r="AQ47" s="255"/>
      <c r="AR47" s="255"/>
      <c r="AS47" s="255"/>
      <c r="AT47" s="255"/>
      <c r="AU47" s="255"/>
      <c r="AV47" s="255"/>
      <c r="AW47" s="255"/>
      <c r="AX47" s="255"/>
      <c r="AY47" s="255"/>
      <c r="AZ47" s="255"/>
      <c r="BA47" s="645"/>
      <c r="BB47" s="255"/>
      <c r="BC47" s="645"/>
      <c r="BD47" s="734"/>
      <c r="BE47" s="645"/>
      <c r="BF47" s="734"/>
      <c r="BG47" s="734"/>
      <c r="BH47" s="645"/>
      <c r="BI47" s="391"/>
      <c r="BJ47" s="585"/>
      <c r="BK47" s="255"/>
      <c r="BL47" s="255"/>
      <c r="BM47" s="255"/>
      <c r="BN47" s="391"/>
      <c r="BO47" s="391"/>
      <c r="BP47" s="391"/>
      <c r="BQ47" s="391"/>
    </row>
    <row r="48" spans="2:69" s="324" customFormat="1" ht="12" customHeight="1">
      <c r="B48" s="373"/>
      <c r="C48" s="756"/>
      <c r="D48" s="653"/>
      <c r="E48" s="674"/>
      <c r="F48" s="676"/>
      <c r="G48" s="676"/>
      <c r="H48" s="676"/>
      <c r="I48" s="676"/>
      <c r="J48" s="676"/>
      <c r="K48" s="676"/>
      <c r="L48" s="758"/>
      <c r="M48" s="758"/>
      <c r="N48" s="51"/>
      <c r="O48" s="682"/>
      <c r="P48" s="682"/>
      <c r="Q48" s="675"/>
      <c r="R48" s="64"/>
      <c r="S48" s="64"/>
      <c r="T48" s="64"/>
      <c r="U48" s="64"/>
      <c r="Y48" s="255"/>
      <c r="Z48" s="255"/>
      <c r="AA48" s="255"/>
      <c r="AB48" s="255"/>
      <c r="AC48" s="255"/>
      <c r="AD48" s="255"/>
      <c r="AE48" s="255"/>
      <c r="AF48" s="651"/>
      <c r="AH48" s="651"/>
      <c r="AK48" s="255"/>
      <c r="AL48" s="255"/>
      <c r="AM48" s="255"/>
      <c r="AN48" s="671"/>
      <c r="AO48" s="671"/>
      <c r="AP48" s="671"/>
      <c r="AQ48" s="671"/>
      <c r="AR48" s="671"/>
      <c r="AS48" s="671"/>
      <c r="AT48" s="671"/>
      <c r="AU48" s="671"/>
      <c r="AV48" s="671"/>
      <c r="AW48" s="671"/>
      <c r="AX48" s="255"/>
      <c r="AY48" s="255"/>
      <c r="AZ48" s="255"/>
      <c r="BA48" s="645"/>
      <c r="BB48" s="255"/>
      <c r="BC48" s="645"/>
      <c r="BD48" s="734"/>
      <c r="BE48" s="645"/>
      <c r="BF48" s="734"/>
      <c r="BG48" s="734"/>
      <c r="BH48" s="645"/>
      <c r="BI48" s="391"/>
      <c r="BJ48" s="391"/>
      <c r="BK48" s="255"/>
      <c r="BL48" s="255"/>
      <c r="BM48" s="255"/>
      <c r="BN48" s="255"/>
      <c r="BO48" s="255"/>
      <c r="BP48" s="255"/>
      <c r="BQ48" s="255"/>
    </row>
    <row r="49" spans="2:72" s="324" customFormat="1" ht="12" customHeight="1">
      <c r="B49" s="373"/>
      <c r="C49" s="756"/>
      <c r="D49" s="674"/>
      <c r="E49" s="674"/>
      <c r="F49" s="677"/>
      <c r="G49" s="677"/>
      <c r="H49" s="677"/>
      <c r="I49" s="677"/>
      <c r="J49" s="677"/>
      <c r="K49" s="677"/>
      <c r="L49" s="758"/>
      <c r="M49" s="758"/>
      <c r="N49" s="51"/>
      <c r="O49" s="682"/>
      <c r="P49" s="682"/>
      <c r="Q49" s="675"/>
      <c r="R49" s="64"/>
      <c r="S49" s="64"/>
      <c r="T49" s="64"/>
      <c r="U49" s="64"/>
      <c r="Y49" s="255"/>
      <c r="Z49" s="255"/>
      <c r="AA49" s="255"/>
      <c r="AB49" s="255"/>
      <c r="AC49" s="255"/>
      <c r="AD49" s="255"/>
      <c r="AE49" s="255"/>
      <c r="AF49" s="651"/>
      <c r="AH49" s="651"/>
      <c r="AK49" s="671"/>
      <c r="AL49" s="671"/>
      <c r="AM49" s="671"/>
      <c r="AN49" s="671"/>
      <c r="AO49" s="671"/>
      <c r="AP49" s="671"/>
      <c r="AQ49" s="671"/>
      <c r="AR49" s="671"/>
      <c r="AS49" s="671"/>
      <c r="AT49" s="671"/>
      <c r="AU49" s="671"/>
      <c r="AV49" s="671"/>
      <c r="AW49" s="671"/>
      <c r="AX49" s="671"/>
      <c r="AY49" s="671"/>
      <c r="AZ49" s="255"/>
      <c r="BA49" s="393"/>
      <c r="BB49" s="255"/>
      <c r="BC49" s="645"/>
      <c r="BD49" s="734"/>
      <c r="BE49" s="645"/>
      <c r="BF49" s="734"/>
      <c r="BG49" s="734"/>
      <c r="BH49" s="645"/>
      <c r="BI49" s="255"/>
      <c r="BJ49" s="255"/>
      <c r="BK49" s="255"/>
      <c r="BL49" s="255"/>
      <c r="BM49" s="255"/>
      <c r="BN49" s="255"/>
      <c r="BO49" s="255"/>
      <c r="BP49" s="255"/>
      <c r="BQ49" s="255"/>
      <c r="BR49" s="255"/>
      <c r="BS49" s="255"/>
      <c r="BT49" s="255"/>
    </row>
    <row r="50" spans="2:69" s="324" customFormat="1" ht="12" customHeight="1">
      <c r="B50" s="652"/>
      <c r="C50" s="759"/>
      <c r="D50" s="678"/>
      <c r="E50" s="679"/>
      <c r="F50" s="679"/>
      <c r="G50" s="679"/>
      <c r="H50" s="680"/>
      <c r="I50" s="680"/>
      <c r="J50" s="680"/>
      <c r="K50" s="680"/>
      <c r="L50" s="681"/>
      <c r="M50" s="681"/>
      <c r="N50" s="51"/>
      <c r="O50" s="682"/>
      <c r="P50" s="682"/>
      <c r="Q50" s="683"/>
      <c r="R50" s="71"/>
      <c r="S50" s="71"/>
      <c r="T50" s="64"/>
      <c r="U50" s="64"/>
      <c r="W50" s="255"/>
      <c r="X50" s="255"/>
      <c r="Y50" s="255"/>
      <c r="Z50" s="255"/>
      <c r="AA50" s="255"/>
      <c r="AB50" s="255"/>
      <c r="AC50" s="255"/>
      <c r="AD50" s="255"/>
      <c r="AE50" s="255"/>
      <c r="AF50" s="255"/>
      <c r="AH50" s="255"/>
      <c r="AK50" s="255"/>
      <c r="AL50" s="255"/>
      <c r="AM50" s="255"/>
      <c r="AN50" s="255"/>
      <c r="AO50" s="255"/>
      <c r="AP50" s="255"/>
      <c r="AQ50" s="255"/>
      <c r="AR50" s="255"/>
      <c r="AS50" s="255"/>
      <c r="AT50" s="255"/>
      <c r="AU50" s="255"/>
      <c r="AV50" s="255"/>
      <c r="AW50" s="255"/>
      <c r="AX50" s="255"/>
      <c r="AY50" s="255"/>
      <c r="AZ50" s="255"/>
      <c r="BA50" s="255"/>
      <c r="BB50" s="255"/>
      <c r="BC50" s="255"/>
      <c r="BD50" s="255"/>
      <c r="BE50" s="255"/>
      <c r="BF50" s="255"/>
      <c r="BG50" s="255"/>
      <c r="BH50" s="255"/>
      <c r="BI50" s="593"/>
      <c r="BJ50" s="593"/>
      <c r="BK50" s="593"/>
      <c r="BL50" s="593"/>
      <c r="BM50" s="593"/>
      <c r="BN50" s="593"/>
      <c r="BO50" s="593"/>
      <c r="BP50" s="593"/>
      <c r="BQ50" s="593"/>
    </row>
    <row r="51" spans="2:72" s="324" customFormat="1" ht="12" customHeight="1">
      <c r="B51" s="686"/>
      <c r="C51" s="759"/>
      <c r="D51" s="678"/>
      <c r="E51" s="679"/>
      <c r="F51" s="679"/>
      <c r="G51" s="679"/>
      <c r="H51" s="680"/>
      <c r="I51" s="680"/>
      <c r="J51" s="680"/>
      <c r="K51" s="680"/>
      <c r="L51" s="681"/>
      <c r="M51" s="681"/>
      <c r="N51" s="51"/>
      <c r="O51" s="760"/>
      <c r="P51" s="760"/>
      <c r="Q51" s="683"/>
      <c r="R51" s="71"/>
      <c r="S51" s="71"/>
      <c r="T51" s="64"/>
      <c r="U51" s="64"/>
      <c r="W51" s="255"/>
      <c r="X51" s="255"/>
      <c r="Y51" s="255"/>
      <c r="Z51" s="255"/>
      <c r="AA51" s="273"/>
      <c r="AB51" s="273"/>
      <c r="AC51" s="273"/>
      <c r="AD51" s="273"/>
      <c r="AE51" s="273"/>
      <c r="AF51" s="273"/>
      <c r="AG51" s="255"/>
      <c r="AH51" s="255"/>
      <c r="AI51" s="255"/>
      <c r="AJ51" s="255"/>
      <c r="AK51" s="273"/>
      <c r="AL51" s="273"/>
      <c r="AM51" s="273"/>
      <c r="AN51" s="273"/>
      <c r="AO51" s="273"/>
      <c r="AP51" s="273"/>
      <c r="AQ51" s="273"/>
      <c r="AR51" s="273"/>
      <c r="AS51" s="273"/>
      <c r="AT51" s="273"/>
      <c r="AU51" s="273"/>
      <c r="AV51" s="273"/>
      <c r="AW51" s="273"/>
      <c r="AX51" s="273"/>
      <c r="AY51" s="273"/>
      <c r="AZ51" s="255"/>
      <c r="BA51" s="255"/>
      <c r="BB51" s="255"/>
      <c r="BC51" s="255"/>
      <c r="BD51" s="255"/>
      <c r="BE51" s="255"/>
      <c r="BF51" s="255"/>
      <c r="BG51" s="255"/>
      <c r="BH51" s="255"/>
      <c r="BI51" s="393"/>
      <c r="BJ51" s="393"/>
      <c r="BK51" s="393"/>
      <c r="BL51" s="393"/>
      <c r="BM51" s="593"/>
      <c r="BN51" s="593"/>
      <c r="BO51" s="593"/>
      <c r="BP51" s="393"/>
      <c r="BQ51" s="393"/>
      <c r="BR51" s="393"/>
      <c r="BS51" s="393"/>
      <c r="BT51" s="393"/>
    </row>
    <row r="52" spans="2:72" s="324" customFormat="1" ht="12" customHeight="1">
      <c r="B52" s="672"/>
      <c r="C52" s="759"/>
      <c r="D52" s="678"/>
      <c r="E52" s="679"/>
      <c r="F52" s="679"/>
      <c r="G52" s="679"/>
      <c r="H52" s="687"/>
      <c r="I52" s="687"/>
      <c r="J52" s="687"/>
      <c r="K52" s="687"/>
      <c r="L52" s="681"/>
      <c r="M52" s="681"/>
      <c r="N52" s="51"/>
      <c r="O52" s="760"/>
      <c r="P52" s="760"/>
      <c r="Q52" s="688"/>
      <c r="R52" s="71"/>
      <c r="S52" s="71"/>
      <c r="T52" s="64"/>
      <c r="U52" s="64"/>
      <c r="W52" s="255"/>
      <c r="X52" s="255"/>
      <c r="Y52" s="255"/>
      <c r="Z52" s="255"/>
      <c r="AA52" s="273"/>
      <c r="AB52" s="273"/>
      <c r="AC52" s="273"/>
      <c r="AD52" s="273"/>
      <c r="AE52" s="273"/>
      <c r="AF52" s="273"/>
      <c r="AG52" s="255"/>
      <c r="AH52" s="255"/>
      <c r="AI52" s="255"/>
      <c r="AJ52" s="255"/>
      <c r="AK52" s="255"/>
      <c r="AL52" s="255"/>
      <c r="AM52" s="273"/>
      <c r="AN52" s="273"/>
      <c r="AO52" s="273"/>
      <c r="AP52" s="255"/>
      <c r="AQ52" s="255"/>
      <c r="AR52" s="273"/>
      <c r="AS52" s="273"/>
      <c r="AT52" s="273"/>
      <c r="AU52" s="255"/>
      <c r="AV52" s="255"/>
      <c r="AW52" s="273"/>
      <c r="AX52" s="273"/>
      <c r="AY52" s="273"/>
      <c r="AZ52" s="255"/>
      <c r="BA52" s="255"/>
      <c r="BB52" s="255"/>
      <c r="BC52" s="255"/>
      <c r="BD52" s="255"/>
      <c r="BE52" s="255"/>
      <c r="BF52" s="255"/>
      <c r="BG52" s="656"/>
      <c r="BH52" s="255"/>
      <c r="BI52" s="393"/>
      <c r="BJ52" s="393"/>
      <c r="BK52" s="393"/>
      <c r="BL52" s="393"/>
      <c r="BM52" s="593"/>
      <c r="BN52" s="593"/>
      <c r="BO52" s="593"/>
      <c r="BP52" s="393"/>
      <c r="BQ52" s="393"/>
      <c r="BR52" s="393"/>
      <c r="BS52" s="393"/>
      <c r="BT52" s="393"/>
    </row>
    <row r="53" spans="2:72" s="324" customFormat="1" ht="12" customHeight="1">
      <c r="B53" s="672"/>
      <c r="C53" s="759"/>
      <c r="D53" s="678"/>
      <c r="E53" s="679"/>
      <c r="F53" s="679"/>
      <c r="G53" s="679"/>
      <c r="H53" s="680"/>
      <c r="I53" s="680"/>
      <c r="J53" s="687"/>
      <c r="K53" s="680"/>
      <c r="L53" s="681"/>
      <c r="M53" s="681"/>
      <c r="N53" s="51"/>
      <c r="O53" s="760"/>
      <c r="P53" s="760"/>
      <c r="Q53" s="688"/>
      <c r="R53" s="71"/>
      <c r="S53" s="71"/>
      <c r="T53" s="64"/>
      <c r="U53" s="64"/>
      <c r="W53" s="255"/>
      <c r="X53" s="255"/>
      <c r="Y53" s="255"/>
      <c r="Z53" s="255"/>
      <c r="AA53" s="273"/>
      <c r="AB53" s="273"/>
      <c r="AC53" s="273"/>
      <c r="AD53" s="273"/>
      <c r="AE53" s="273"/>
      <c r="AF53" s="273"/>
      <c r="AG53" s="255"/>
      <c r="AH53" s="255"/>
      <c r="AI53" s="255"/>
      <c r="AJ53" s="255"/>
      <c r="AK53" s="255"/>
      <c r="AL53" s="273"/>
      <c r="AM53" s="255"/>
      <c r="AN53" s="273"/>
      <c r="AO53" s="273"/>
      <c r="AP53" s="255"/>
      <c r="AQ53" s="273"/>
      <c r="AR53" s="255"/>
      <c r="AS53" s="273"/>
      <c r="AT53" s="273"/>
      <c r="AU53" s="255"/>
      <c r="AV53" s="273"/>
      <c r="AW53" s="255"/>
      <c r="AX53" s="273"/>
      <c r="AY53" s="273"/>
      <c r="AZ53" s="255"/>
      <c r="BA53" s="255"/>
      <c r="BB53" s="255"/>
      <c r="BC53" s="255"/>
      <c r="BD53" s="255"/>
      <c r="BE53" s="255"/>
      <c r="BF53" s="255"/>
      <c r="BG53" s="255"/>
      <c r="BH53" s="273"/>
      <c r="BI53" s="393"/>
      <c r="BJ53" s="393"/>
      <c r="BK53" s="393"/>
      <c r="BL53" s="393"/>
      <c r="BM53" s="593"/>
      <c r="BN53" s="593"/>
      <c r="BO53" s="593"/>
      <c r="BP53" s="393"/>
      <c r="BQ53" s="393"/>
      <c r="BR53" s="393"/>
      <c r="BS53" s="393"/>
      <c r="BT53" s="393"/>
    </row>
    <row r="54" spans="2:71" s="324" customFormat="1" ht="12" customHeight="1">
      <c r="B54" s="672"/>
      <c r="C54" s="759"/>
      <c r="D54" s="678"/>
      <c r="E54" s="679"/>
      <c r="F54" s="679"/>
      <c r="G54" s="679"/>
      <c r="H54" s="680"/>
      <c r="I54" s="680"/>
      <c r="J54" s="680"/>
      <c r="K54" s="680"/>
      <c r="L54" s="681"/>
      <c r="M54" s="681"/>
      <c r="N54" s="51"/>
      <c r="O54" s="688"/>
      <c r="P54" s="688"/>
      <c r="Q54" s="688"/>
      <c r="R54" s="71"/>
      <c r="S54" s="71"/>
      <c r="T54" s="64"/>
      <c r="U54" s="64"/>
      <c r="W54" s="255"/>
      <c r="X54" s="255"/>
      <c r="Y54" s="255"/>
      <c r="Z54" s="255"/>
      <c r="AA54" s="273"/>
      <c r="AB54" s="273"/>
      <c r="AC54" s="273"/>
      <c r="AD54" s="273"/>
      <c r="AE54" s="273"/>
      <c r="AF54" s="273"/>
      <c r="AG54" s="255"/>
      <c r="AH54" s="255"/>
      <c r="AI54" s="255"/>
      <c r="AJ54" s="255"/>
      <c r="AK54" s="255"/>
      <c r="AL54" s="255"/>
      <c r="AM54" s="255"/>
      <c r="AN54" s="255"/>
      <c r="AO54" s="255"/>
      <c r="AP54" s="255"/>
      <c r="AQ54" s="255"/>
      <c r="AR54" s="255"/>
      <c r="AS54" s="255"/>
      <c r="AT54" s="255"/>
      <c r="AU54" s="255"/>
      <c r="AV54" s="255"/>
      <c r="AW54" s="255"/>
      <c r="AX54" s="255"/>
      <c r="AY54" s="255"/>
      <c r="AZ54" s="255"/>
      <c r="BA54" s="255"/>
      <c r="BB54" s="255"/>
      <c r="BC54" s="255"/>
      <c r="BD54" s="255"/>
      <c r="BE54" s="255"/>
      <c r="BF54" s="255"/>
      <c r="BG54" s="255"/>
      <c r="BH54" s="391"/>
      <c r="BI54" s="393"/>
      <c r="BJ54" s="393"/>
      <c r="BK54" s="393"/>
      <c r="BL54" s="393"/>
      <c r="BM54" s="593"/>
      <c r="BN54" s="593"/>
      <c r="BO54" s="593"/>
      <c r="BP54" s="393"/>
      <c r="BQ54" s="393"/>
      <c r="BR54" s="393"/>
      <c r="BS54" s="393"/>
    </row>
    <row r="55" spans="2:72" s="324" customFormat="1" ht="12" customHeight="1">
      <c r="B55" s="672"/>
      <c r="C55" s="761"/>
      <c r="D55" s="678"/>
      <c r="E55" s="679"/>
      <c r="F55" s="679"/>
      <c r="G55" s="679"/>
      <c r="H55" s="680"/>
      <c r="I55" s="680"/>
      <c r="J55" s="680"/>
      <c r="K55" s="680"/>
      <c r="L55" s="681"/>
      <c r="M55" s="681"/>
      <c r="N55" s="51"/>
      <c r="O55" s="688"/>
      <c r="P55" s="688"/>
      <c r="Q55" s="688"/>
      <c r="R55" s="71"/>
      <c r="S55" s="71"/>
      <c r="T55" s="64"/>
      <c r="U55" s="64"/>
      <c r="W55" s="255"/>
      <c r="X55" s="255"/>
      <c r="Y55" s="255"/>
      <c r="Z55" s="255"/>
      <c r="AA55" s="273"/>
      <c r="AB55" s="273"/>
      <c r="AC55" s="273"/>
      <c r="AD55" s="273"/>
      <c r="AE55" s="273"/>
      <c r="AF55" s="273"/>
      <c r="AG55" s="255"/>
      <c r="AH55" s="255"/>
      <c r="AI55" s="255"/>
      <c r="AJ55" s="255"/>
      <c r="AK55" s="255"/>
      <c r="AL55" s="255"/>
      <c r="AM55" s="255"/>
      <c r="AN55" s="255"/>
      <c r="AO55" s="255"/>
      <c r="AP55" s="255"/>
      <c r="AQ55" s="255"/>
      <c r="AR55" s="255"/>
      <c r="AS55" s="255"/>
      <c r="AT55" s="255"/>
      <c r="AU55" s="255"/>
      <c r="AV55" s="255"/>
      <c r="AW55" s="255"/>
      <c r="AX55" s="255"/>
      <c r="AY55" s="255"/>
      <c r="AZ55" s="333"/>
      <c r="BA55" s="255"/>
      <c r="BB55" s="255"/>
      <c r="BC55" s="255"/>
      <c r="BD55" s="273"/>
      <c r="BE55" s="255"/>
      <c r="BF55" s="255"/>
      <c r="BG55" s="255"/>
      <c r="BH55" s="273"/>
      <c r="BI55" s="393"/>
      <c r="BJ55" s="393"/>
      <c r="BK55" s="393"/>
      <c r="BL55" s="393"/>
      <c r="BM55" s="593"/>
      <c r="BN55" s="593"/>
      <c r="BO55" s="593"/>
      <c r="BP55" s="393"/>
      <c r="BQ55" s="393"/>
      <c r="BR55" s="393"/>
      <c r="BS55" s="393"/>
      <c r="BT55" s="393"/>
    </row>
    <row r="56" spans="2:72" s="324" customFormat="1" ht="12" customHeight="1">
      <c r="B56" s="672"/>
      <c r="C56" s="761"/>
      <c r="D56" s="678"/>
      <c r="E56" s="679"/>
      <c r="F56" s="679"/>
      <c r="G56" s="679"/>
      <c r="H56" s="680"/>
      <c r="I56" s="680"/>
      <c r="J56" s="680"/>
      <c r="K56" s="680"/>
      <c r="L56" s="681"/>
      <c r="M56" s="681"/>
      <c r="N56" s="51"/>
      <c r="O56" s="688"/>
      <c r="P56" s="688"/>
      <c r="Q56" s="688"/>
      <c r="R56" s="71"/>
      <c r="S56" s="71"/>
      <c r="T56" s="64"/>
      <c r="U56" s="64"/>
      <c r="W56" s="255"/>
      <c r="X56" s="255"/>
      <c r="Y56" s="255"/>
      <c r="Z56" s="255"/>
      <c r="AA56" s="273"/>
      <c r="AB56" s="273"/>
      <c r="AC56" s="273"/>
      <c r="AD56" s="273"/>
      <c r="AE56" s="273"/>
      <c r="AF56" s="273"/>
      <c r="AG56" s="255"/>
      <c r="AH56" s="255"/>
      <c r="AI56" s="255"/>
      <c r="AJ56" s="255"/>
      <c r="AK56" s="255"/>
      <c r="AL56" s="255"/>
      <c r="AM56" s="255"/>
      <c r="AN56" s="255"/>
      <c r="AO56" s="255"/>
      <c r="AP56" s="255"/>
      <c r="AQ56" s="255"/>
      <c r="AR56" s="255"/>
      <c r="AS56" s="255"/>
      <c r="AT56" s="255"/>
      <c r="AU56" s="255"/>
      <c r="AV56" s="255"/>
      <c r="AW56" s="255"/>
      <c r="AX56" s="255"/>
      <c r="AY56" s="255"/>
      <c r="AZ56" s="255"/>
      <c r="BA56" s="255"/>
      <c r="BB56" s="255"/>
      <c r="BC56" s="255"/>
      <c r="BD56" s="273"/>
      <c r="BE56" s="255"/>
      <c r="BF56" s="255"/>
      <c r="BG56" s="255"/>
      <c r="BH56" s="273"/>
      <c r="BI56" s="393"/>
      <c r="BJ56" s="393"/>
      <c r="BK56" s="393"/>
      <c r="BL56" s="393"/>
      <c r="BM56" s="593"/>
      <c r="BN56" s="593"/>
      <c r="BO56" s="593"/>
      <c r="BP56" s="393"/>
      <c r="BQ56" s="393"/>
      <c r="BR56" s="393"/>
      <c r="BS56" s="393"/>
      <c r="BT56" s="393"/>
    </row>
    <row r="57" spans="2:72" s="324" customFormat="1" ht="12" customHeight="1">
      <c r="B57" s="672"/>
      <c r="C57" s="761"/>
      <c r="D57" s="678"/>
      <c r="E57" s="679"/>
      <c r="F57" s="679"/>
      <c r="G57" s="679"/>
      <c r="H57" s="689"/>
      <c r="I57" s="689"/>
      <c r="J57" s="689"/>
      <c r="K57" s="689"/>
      <c r="L57" s="681"/>
      <c r="M57" s="681"/>
      <c r="O57" s="762"/>
      <c r="P57" s="762"/>
      <c r="Q57" s="690"/>
      <c r="R57" s="71"/>
      <c r="S57" s="71"/>
      <c r="T57" s="64"/>
      <c r="U57" s="64"/>
      <c r="W57" s="255"/>
      <c r="X57" s="255"/>
      <c r="Y57" s="255"/>
      <c r="Z57" s="255"/>
      <c r="AA57" s="273"/>
      <c r="AB57" s="273"/>
      <c r="AC57" s="273"/>
      <c r="AD57" s="273"/>
      <c r="AE57" s="273"/>
      <c r="AF57" s="273"/>
      <c r="AG57" s="255"/>
      <c r="AH57" s="255"/>
      <c r="AI57" s="255"/>
      <c r="AJ57" s="255"/>
      <c r="AK57" s="255"/>
      <c r="AL57" s="255"/>
      <c r="AM57" s="255"/>
      <c r="AN57" s="255"/>
      <c r="AO57" s="255"/>
      <c r="AP57" s="255"/>
      <c r="AQ57" s="255"/>
      <c r="AR57" s="255"/>
      <c r="AS57" s="255"/>
      <c r="AT57" s="255"/>
      <c r="AU57" s="255"/>
      <c r="AV57" s="255"/>
      <c r="AW57" s="255"/>
      <c r="AX57" s="255"/>
      <c r="AY57" s="255"/>
      <c r="AZ57" s="255"/>
      <c r="BA57" s="255"/>
      <c r="BB57" s="255"/>
      <c r="BC57" s="255"/>
      <c r="BD57" s="273"/>
      <c r="BE57" s="255"/>
      <c r="BF57" s="255"/>
      <c r="BG57" s="255"/>
      <c r="BH57" s="273"/>
      <c r="BI57" s="393"/>
      <c r="BJ57" s="393"/>
      <c r="BK57" s="393"/>
      <c r="BL57" s="393"/>
      <c r="BM57" s="593"/>
      <c r="BN57" s="593"/>
      <c r="BO57" s="593"/>
      <c r="BP57" s="393"/>
      <c r="BQ57" s="393"/>
      <c r="BR57" s="393"/>
      <c r="BS57" s="393"/>
      <c r="BT57" s="393"/>
    </row>
    <row r="58" spans="2:72" s="324" customFormat="1" ht="12" customHeight="1">
      <c r="B58" s="652"/>
      <c r="C58" s="763"/>
      <c r="D58" s="678"/>
      <c r="E58" s="679"/>
      <c r="F58" s="679"/>
      <c r="G58" s="679"/>
      <c r="H58" s="680"/>
      <c r="I58" s="680"/>
      <c r="J58" s="680"/>
      <c r="K58" s="680"/>
      <c r="L58" s="681"/>
      <c r="M58" s="681"/>
      <c r="N58" s="51"/>
      <c r="O58" s="764"/>
      <c r="P58" s="764"/>
      <c r="Q58" s="692"/>
      <c r="R58" s="71"/>
      <c r="S58" s="71"/>
      <c r="T58" s="64"/>
      <c r="U58" s="64"/>
      <c r="W58" s="255"/>
      <c r="X58" s="255"/>
      <c r="Y58" s="255"/>
      <c r="Z58" s="255"/>
      <c r="AA58" s="273"/>
      <c r="AB58" s="255"/>
      <c r="AC58" s="255"/>
      <c r="AD58" s="273"/>
      <c r="AE58" s="273"/>
      <c r="AF58" s="273"/>
      <c r="AG58" s="255"/>
      <c r="AH58" s="255"/>
      <c r="AI58" s="255"/>
      <c r="AJ58" s="255"/>
      <c r="AK58" s="255"/>
      <c r="AL58" s="255"/>
      <c r="AM58" s="255"/>
      <c r="AN58" s="255"/>
      <c r="AO58" s="255"/>
      <c r="AP58" s="255"/>
      <c r="AQ58" s="255"/>
      <c r="AR58" s="255"/>
      <c r="AS58" s="255"/>
      <c r="AT58" s="255"/>
      <c r="AU58" s="255"/>
      <c r="AV58" s="255"/>
      <c r="AW58" s="255"/>
      <c r="AX58" s="255"/>
      <c r="AY58" s="255"/>
      <c r="AZ58" s="255"/>
      <c r="BA58" s="255"/>
      <c r="BB58" s="255"/>
      <c r="BC58" s="255"/>
      <c r="BD58" s="255"/>
      <c r="BE58" s="255"/>
      <c r="BF58" s="255"/>
      <c r="BG58" s="255"/>
      <c r="BH58" s="255"/>
      <c r="BI58" s="393"/>
      <c r="BJ58" s="393"/>
      <c r="BK58" s="393"/>
      <c r="BL58" s="393"/>
      <c r="BM58" s="593"/>
      <c r="BN58" s="593"/>
      <c r="BO58" s="593"/>
      <c r="BP58" s="393"/>
      <c r="BQ58" s="393"/>
      <c r="BR58" s="393"/>
      <c r="BS58" s="393"/>
      <c r="BT58" s="393"/>
    </row>
    <row r="59" spans="2:72" s="324" customFormat="1" ht="12" customHeight="1">
      <c r="B59" s="672"/>
      <c r="C59" s="763"/>
      <c r="D59" s="678"/>
      <c r="E59" s="679"/>
      <c r="F59" s="679"/>
      <c r="G59" s="679"/>
      <c r="H59" s="680"/>
      <c r="I59" s="680"/>
      <c r="J59" s="680"/>
      <c r="K59" s="680"/>
      <c r="L59" s="681"/>
      <c r="M59" s="681"/>
      <c r="N59" s="51"/>
      <c r="O59" s="694"/>
      <c r="P59" s="694"/>
      <c r="Q59" s="694"/>
      <c r="R59" s="71"/>
      <c r="S59" s="71"/>
      <c r="T59" s="64"/>
      <c r="U59" s="64"/>
      <c r="W59" s="255"/>
      <c r="X59" s="255"/>
      <c r="Y59" s="255"/>
      <c r="Z59" s="255"/>
      <c r="AA59" s="273"/>
      <c r="AB59" s="255"/>
      <c r="AC59" s="255"/>
      <c r="AD59" s="273"/>
      <c r="AE59" s="273"/>
      <c r="AF59" s="273"/>
      <c r="AG59" s="255"/>
      <c r="AH59" s="255"/>
      <c r="AI59" s="255"/>
      <c r="AJ59" s="255"/>
      <c r="AK59" s="255"/>
      <c r="AL59" s="255"/>
      <c r="AM59" s="255"/>
      <c r="AN59" s="255"/>
      <c r="AO59" s="255"/>
      <c r="AP59" s="255"/>
      <c r="AQ59" s="255"/>
      <c r="AR59" s="255"/>
      <c r="AS59" s="255"/>
      <c r="AT59" s="255"/>
      <c r="AU59" s="255"/>
      <c r="AV59" s="255"/>
      <c r="AW59" s="255"/>
      <c r="AX59" s="255"/>
      <c r="AY59" s="255"/>
      <c r="AZ59" s="255"/>
      <c r="BA59" s="255"/>
      <c r="BB59" s="255"/>
      <c r="BC59" s="255"/>
      <c r="BD59" s="255"/>
      <c r="BE59" s="255"/>
      <c r="BF59" s="255"/>
      <c r="BG59" s="255"/>
      <c r="BH59" s="255"/>
      <c r="BI59" s="393"/>
      <c r="BJ59" s="393"/>
      <c r="BK59" s="393"/>
      <c r="BL59" s="393"/>
      <c r="BM59" s="593"/>
      <c r="BN59" s="593"/>
      <c r="BO59" s="593"/>
      <c r="BP59" s="393"/>
      <c r="BQ59" s="393"/>
      <c r="BR59" s="393"/>
      <c r="BS59" s="393"/>
      <c r="BT59" s="393"/>
    </row>
    <row r="60" spans="2:72" s="324" customFormat="1" ht="12" customHeight="1">
      <c r="B60" s="672"/>
      <c r="C60" s="763"/>
      <c r="D60" s="678"/>
      <c r="E60" s="679"/>
      <c r="F60" s="679"/>
      <c r="G60" s="679"/>
      <c r="H60" s="689"/>
      <c r="I60" s="689"/>
      <c r="J60" s="689"/>
      <c r="K60" s="689"/>
      <c r="L60" s="681"/>
      <c r="M60" s="681"/>
      <c r="N60" s="51"/>
      <c r="O60" s="695"/>
      <c r="P60" s="695"/>
      <c r="Q60" s="695"/>
      <c r="R60" s="71"/>
      <c r="S60" s="71"/>
      <c r="T60" s="64"/>
      <c r="U60" s="64"/>
      <c r="W60" s="255"/>
      <c r="X60" s="255"/>
      <c r="Y60" s="255"/>
      <c r="Z60" s="255"/>
      <c r="AA60" s="273"/>
      <c r="AB60" s="255"/>
      <c r="AC60" s="255"/>
      <c r="AD60" s="273"/>
      <c r="AE60" s="273"/>
      <c r="AF60" s="273"/>
      <c r="AG60" s="255"/>
      <c r="AH60" s="255"/>
      <c r="AI60" s="255"/>
      <c r="AJ60" s="255"/>
      <c r="AK60" s="255"/>
      <c r="AL60" s="255"/>
      <c r="AM60" s="255"/>
      <c r="AN60" s="255"/>
      <c r="AO60" s="255"/>
      <c r="AP60" s="255"/>
      <c r="AQ60" s="255"/>
      <c r="AR60" s="255"/>
      <c r="AS60" s="255"/>
      <c r="AT60" s="255"/>
      <c r="AU60" s="255"/>
      <c r="AV60" s="255"/>
      <c r="AW60" s="255"/>
      <c r="AX60" s="255"/>
      <c r="AY60" s="255"/>
      <c r="AZ60" s="255"/>
      <c r="BA60" s="255"/>
      <c r="BB60" s="255"/>
      <c r="BC60" s="255"/>
      <c r="BD60" s="255"/>
      <c r="BE60" s="255"/>
      <c r="BF60" s="255"/>
      <c r="BG60" s="255"/>
      <c r="BH60" s="255"/>
      <c r="BI60" s="393"/>
      <c r="BJ60" s="393"/>
      <c r="BK60" s="393"/>
      <c r="BL60" s="393"/>
      <c r="BM60" s="593"/>
      <c r="BN60" s="593"/>
      <c r="BO60" s="593"/>
      <c r="BP60" s="393"/>
      <c r="BQ60" s="393"/>
      <c r="BR60" s="393"/>
      <c r="BS60" s="393"/>
      <c r="BT60" s="393"/>
    </row>
    <row r="61" spans="2:69" s="324" customFormat="1" ht="12" customHeight="1">
      <c r="B61" s="672"/>
      <c r="C61" s="763"/>
      <c r="D61" s="678"/>
      <c r="E61" s="679"/>
      <c r="F61" s="679"/>
      <c r="G61" s="679"/>
      <c r="H61" s="680"/>
      <c r="I61" s="680"/>
      <c r="J61" s="680"/>
      <c r="K61" s="680"/>
      <c r="L61" s="681"/>
      <c r="M61" s="681"/>
      <c r="N61" s="51"/>
      <c r="O61" s="695"/>
      <c r="P61" s="695"/>
      <c r="Q61" s="695"/>
      <c r="R61" s="71"/>
      <c r="S61" s="71"/>
      <c r="T61" s="64"/>
      <c r="U61" s="64"/>
      <c r="W61" s="255"/>
      <c r="X61" s="255"/>
      <c r="Y61" s="255"/>
      <c r="Z61" s="255"/>
      <c r="AA61" s="273"/>
      <c r="AB61" s="273"/>
      <c r="AC61" s="273"/>
      <c r="AD61" s="273"/>
      <c r="AE61" s="273"/>
      <c r="AF61" s="273"/>
      <c r="AG61" s="255"/>
      <c r="AH61" s="255"/>
      <c r="AK61" s="255"/>
      <c r="AL61" s="255"/>
      <c r="AM61" s="255"/>
      <c r="AN61" s="255"/>
      <c r="AO61" s="255"/>
      <c r="AP61" s="255"/>
      <c r="AQ61" s="255"/>
      <c r="AR61" s="255"/>
      <c r="AS61" s="255"/>
      <c r="AT61" s="255"/>
      <c r="AU61" s="255"/>
      <c r="AV61" s="255"/>
      <c r="AW61" s="255"/>
      <c r="AX61" s="255"/>
      <c r="AY61" s="255"/>
      <c r="AZ61" s="255"/>
      <c r="BA61" s="255"/>
      <c r="BB61" s="255"/>
      <c r="BC61" s="255"/>
      <c r="BD61" s="255"/>
      <c r="BE61" s="255"/>
      <c r="BF61" s="255"/>
      <c r="BG61" s="255"/>
      <c r="BH61" s="255"/>
      <c r="BI61" s="393"/>
      <c r="BJ61" s="393"/>
      <c r="BK61" s="393"/>
      <c r="BL61" s="393"/>
      <c r="BM61" s="593"/>
      <c r="BN61" s="593"/>
      <c r="BO61" s="593"/>
      <c r="BP61" s="393"/>
      <c r="BQ61" s="393"/>
    </row>
    <row r="62" spans="2:69" s="324" customFormat="1" ht="12" customHeight="1">
      <c r="B62" s="674"/>
      <c r="C62" s="763"/>
      <c r="D62" s="678"/>
      <c r="E62" s="679"/>
      <c r="F62" s="679"/>
      <c r="G62" s="679"/>
      <c r="H62" s="680"/>
      <c r="I62" s="680"/>
      <c r="J62" s="680"/>
      <c r="K62" s="680"/>
      <c r="L62" s="681"/>
      <c r="M62" s="681"/>
      <c r="N62" s="51"/>
      <c r="O62" s="695"/>
      <c r="P62" s="695"/>
      <c r="Q62" s="695"/>
      <c r="R62" s="71"/>
      <c r="S62" s="71"/>
      <c r="T62" s="64"/>
      <c r="U62" s="64"/>
      <c r="W62" s="255"/>
      <c r="X62" s="255"/>
      <c r="Y62" s="255"/>
      <c r="Z62" s="255"/>
      <c r="AA62" s="273"/>
      <c r="AB62" s="273"/>
      <c r="AC62" s="273"/>
      <c r="AD62" s="273"/>
      <c r="AE62" s="273"/>
      <c r="AF62" s="273"/>
      <c r="AG62" s="255"/>
      <c r="AH62" s="255"/>
      <c r="AK62" s="671"/>
      <c r="AL62" s="671"/>
      <c r="AM62" s="671"/>
      <c r="AN62" s="671"/>
      <c r="AO62" s="671"/>
      <c r="AP62" s="671"/>
      <c r="AQ62" s="671"/>
      <c r="AR62" s="671"/>
      <c r="AS62" s="671"/>
      <c r="AT62" s="671"/>
      <c r="AU62" s="671"/>
      <c r="AV62" s="671"/>
      <c r="AW62" s="671"/>
      <c r="AX62" s="671"/>
      <c r="AY62" s="671"/>
      <c r="AZ62" s="255"/>
      <c r="BA62" s="255"/>
      <c r="BB62" s="255"/>
      <c r="BC62" s="255"/>
      <c r="BD62" s="255"/>
      <c r="BE62" s="255"/>
      <c r="BF62" s="255"/>
      <c r="BG62" s="255"/>
      <c r="BH62" s="255"/>
      <c r="BI62" s="393"/>
      <c r="BJ62" s="393"/>
      <c r="BK62" s="393"/>
      <c r="BL62" s="393"/>
      <c r="BM62" s="593"/>
      <c r="BN62" s="593"/>
      <c r="BO62" s="593"/>
      <c r="BP62" s="393"/>
      <c r="BQ62" s="393"/>
    </row>
    <row r="63" spans="2:69" s="324" customFormat="1" ht="12" customHeight="1">
      <c r="B63" s="652"/>
      <c r="C63" s="765"/>
      <c r="D63" s="678"/>
      <c r="E63" s="679"/>
      <c r="F63" s="679"/>
      <c r="G63" s="679"/>
      <c r="H63" s="689"/>
      <c r="I63" s="689"/>
      <c r="J63" s="680"/>
      <c r="K63" s="680"/>
      <c r="L63" s="681"/>
      <c r="M63" s="681"/>
      <c r="N63" s="51"/>
      <c r="O63" s="696"/>
      <c r="P63" s="696"/>
      <c r="Q63" s="696"/>
      <c r="R63" s="71"/>
      <c r="S63" s="71"/>
      <c r="T63" s="64"/>
      <c r="U63" s="64"/>
      <c r="W63" s="255"/>
      <c r="X63" s="255"/>
      <c r="Y63" s="255"/>
      <c r="Z63" s="255"/>
      <c r="AA63" s="273"/>
      <c r="AB63" s="273"/>
      <c r="AC63" s="273"/>
      <c r="AD63" s="273"/>
      <c r="AE63" s="273"/>
      <c r="AF63" s="273"/>
      <c r="AG63" s="255"/>
      <c r="AH63" s="255"/>
      <c r="AK63" s="255"/>
      <c r="AL63" s="255"/>
      <c r="AM63" s="255"/>
      <c r="AN63" s="255"/>
      <c r="AO63" s="255"/>
      <c r="AP63" s="255"/>
      <c r="AQ63" s="255"/>
      <c r="AR63" s="255"/>
      <c r="AS63" s="255"/>
      <c r="AT63" s="255"/>
      <c r="AU63" s="255"/>
      <c r="AV63" s="255"/>
      <c r="AW63" s="255"/>
      <c r="AX63" s="255"/>
      <c r="AY63" s="255"/>
      <c r="AZ63" s="255"/>
      <c r="BA63" s="255"/>
      <c r="BB63" s="255"/>
      <c r="BC63" s="255"/>
      <c r="BD63" s="255"/>
      <c r="BE63" s="255"/>
      <c r="BF63" s="255"/>
      <c r="BG63" s="255"/>
      <c r="BH63" s="255"/>
      <c r="BI63" s="593"/>
      <c r="BJ63" s="593"/>
      <c r="BK63" s="593"/>
      <c r="BL63" s="593"/>
      <c r="BM63" s="593"/>
      <c r="BN63" s="593"/>
      <c r="BO63" s="593"/>
      <c r="BP63" s="593"/>
      <c r="BQ63" s="593"/>
    </row>
    <row r="64" spans="2:72" s="324" customFormat="1" ht="12" customHeight="1">
      <c r="B64" s="672"/>
      <c r="C64" s="765"/>
      <c r="D64" s="678"/>
      <c r="E64" s="679"/>
      <c r="F64" s="679"/>
      <c r="G64" s="679"/>
      <c r="H64" s="689"/>
      <c r="I64" s="689"/>
      <c r="J64" s="680"/>
      <c r="K64" s="680"/>
      <c r="L64" s="681"/>
      <c r="M64" s="681"/>
      <c r="N64" s="51"/>
      <c r="O64" s="760"/>
      <c r="P64" s="760"/>
      <c r="Q64" s="696"/>
      <c r="R64" s="71"/>
      <c r="S64" s="71"/>
      <c r="T64" s="64"/>
      <c r="U64" s="64"/>
      <c r="W64" s="255"/>
      <c r="X64" s="255"/>
      <c r="Y64" s="255"/>
      <c r="Z64" s="255"/>
      <c r="AA64" s="273"/>
      <c r="AB64" s="273"/>
      <c r="AC64" s="273"/>
      <c r="AD64" s="273"/>
      <c r="AE64" s="273"/>
      <c r="AF64" s="273"/>
      <c r="AG64" s="255"/>
      <c r="AH64" s="255"/>
      <c r="AI64" s="255"/>
      <c r="AJ64" s="255"/>
      <c r="AK64" s="255"/>
      <c r="AL64" s="273"/>
      <c r="AM64" s="273"/>
      <c r="AN64" s="273"/>
      <c r="AO64" s="273"/>
      <c r="AP64" s="255"/>
      <c r="AQ64" s="273"/>
      <c r="AR64" s="273"/>
      <c r="AS64" s="273"/>
      <c r="AT64" s="273"/>
      <c r="AU64" s="255"/>
      <c r="AV64" s="273"/>
      <c r="AW64" s="273"/>
      <c r="AX64" s="273"/>
      <c r="AY64" s="273"/>
      <c r="AZ64" s="255"/>
      <c r="BA64" s="255"/>
      <c r="BB64" s="255"/>
      <c r="BC64" s="255"/>
      <c r="BD64" s="255"/>
      <c r="BE64" s="255"/>
      <c r="BF64" s="255"/>
      <c r="BG64" s="255"/>
      <c r="BH64" s="255"/>
      <c r="BI64" s="393"/>
      <c r="BJ64" s="393"/>
      <c r="BK64" s="393"/>
      <c r="BL64" s="393"/>
      <c r="BM64" s="593"/>
      <c r="BN64" s="593"/>
      <c r="BO64" s="593"/>
      <c r="BP64" s="393"/>
      <c r="BQ64" s="393"/>
      <c r="BR64" s="393"/>
      <c r="BS64" s="393"/>
      <c r="BT64" s="393"/>
    </row>
    <row r="65" spans="2:72" s="324" customFormat="1" ht="12" customHeight="1">
      <c r="B65" s="672"/>
      <c r="C65" s="765"/>
      <c r="D65" s="678"/>
      <c r="E65" s="679"/>
      <c r="F65" s="679"/>
      <c r="G65" s="679"/>
      <c r="H65" s="687"/>
      <c r="I65" s="687"/>
      <c r="J65" s="697"/>
      <c r="K65" s="697"/>
      <c r="L65" s="681"/>
      <c r="M65" s="681"/>
      <c r="O65" s="760"/>
      <c r="P65" s="760"/>
      <c r="Q65" s="696"/>
      <c r="R65" s="71"/>
      <c r="S65" s="71"/>
      <c r="T65" s="64"/>
      <c r="U65" s="64"/>
      <c r="W65" s="255"/>
      <c r="X65" s="255"/>
      <c r="Y65" s="255"/>
      <c r="Z65" s="255"/>
      <c r="AA65" s="273"/>
      <c r="AB65" s="273"/>
      <c r="AC65" s="273"/>
      <c r="AD65" s="273"/>
      <c r="AE65" s="273"/>
      <c r="AF65" s="273"/>
      <c r="AG65" s="255"/>
      <c r="AH65" s="255"/>
      <c r="AI65" s="255"/>
      <c r="AJ65" s="255"/>
      <c r="AK65" s="255"/>
      <c r="AL65" s="255"/>
      <c r="AM65" s="273"/>
      <c r="AN65" s="273"/>
      <c r="AO65" s="273"/>
      <c r="AP65" s="255"/>
      <c r="AQ65" s="255"/>
      <c r="AR65" s="273"/>
      <c r="AS65" s="273"/>
      <c r="AT65" s="273"/>
      <c r="AU65" s="255"/>
      <c r="AV65" s="255"/>
      <c r="AW65" s="273"/>
      <c r="AX65" s="273"/>
      <c r="AY65" s="273"/>
      <c r="AZ65" s="255"/>
      <c r="BA65" s="255"/>
      <c r="BB65" s="255"/>
      <c r="BC65" s="255"/>
      <c r="BD65" s="255"/>
      <c r="BE65" s="255"/>
      <c r="BF65" s="255"/>
      <c r="BG65" s="255"/>
      <c r="BH65" s="255"/>
      <c r="BI65" s="393"/>
      <c r="BJ65" s="393"/>
      <c r="BK65" s="393"/>
      <c r="BL65" s="393"/>
      <c r="BM65" s="593"/>
      <c r="BN65" s="593"/>
      <c r="BO65" s="593"/>
      <c r="BP65" s="393"/>
      <c r="BQ65" s="393"/>
      <c r="BR65" s="393"/>
      <c r="BS65" s="393"/>
      <c r="BT65" s="393"/>
    </row>
    <row r="66" spans="2:72" s="324" customFormat="1" ht="12" customHeight="1">
      <c r="B66" s="672"/>
      <c r="C66" s="765"/>
      <c r="D66" s="678"/>
      <c r="E66" s="679"/>
      <c r="F66" s="679"/>
      <c r="G66" s="679"/>
      <c r="H66" s="689"/>
      <c r="I66" s="689"/>
      <c r="J66" s="680"/>
      <c r="K66" s="680"/>
      <c r="L66" s="681"/>
      <c r="M66" s="681"/>
      <c r="N66" s="51"/>
      <c r="O66" s="760"/>
      <c r="P66" s="760"/>
      <c r="Q66" s="698"/>
      <c r="R66" s="71"/>
      <c r="S66" s="71"/>
      <c r="T66" s="64"/>
      <c r="U66" s="64"/>
      <c r="W66" s="255"/>
      <c r="X66" s="255"/>
      <c r="Y66" s="255"/>
      <c r="Z66" s="255"/>
      <c r="AA66" s="273"/>
      <c r="AB66" s="273"/>
      <c r="AC66" s="273"/>
      <c r="AD66" s="273"/>
      <c r="AE66" s="273"/>
      <c r="AF66" s="273"/>
      <c r="AG66" s="255"/>
      <c r="AH66" s="255"/>
      <c r="AI66" s="255"/>
      <c r="AJ66" s="255"/>
      <c r="AK66" s="255"/>
      <c r="AL66" s="273"/>
      <c r="AM66" s="255"/>
      <c r="AN66" s="273"/>
      <c r="AO66" s="273"/>
      <c r="AP66" s="255"/>
      <c r="AQ66" s="273"/>
      <c r="AR66" s="255"/>
      <c r="AS66" s="255"/>
      <c r="AT66" s="273"/>
      <c r="AU66" s="255"/>
      <c r="AV66" s="273"/>
      <c r="AW66" s="255"/>
      <c r="AX66" s="255"/>
      <c r="AY66" s="273"/>
      <c r="AZ66" s="255"/>
      <c r="BA66" s="255"/>
      <c r="BB66" s="255"/>
      <c r="BC66" s="255"/>
      <c r="BD66" s="255"/>
      <c r="BE66" s="255"/>
      <c r="BF66" s="255"/>
      <c r="BG66" s="255"/>
      <c r="BH66" s="255"/>
      <c r="BI66" s="393"/>
      <c r="BJ66" s="393"/>
      <c r="BK66" s="393"/>
      <c r="BL66" s="393"/>
      <c r="BM66" s="593"/>
      <c r="BN66" s="593"/>
      <c r="BO66" s="593"/>
      <c r="BP66" s="393"/>
      <c r="BQ66" s="393"/>
      <c r="BR66" s="393"/>
      <c r="BS66" s="393"/>
      <c r="BT66" s="393"/>
    </row>
    <row r="67" spans="2:72" s="324" customFormat="1" ht="12" customHeight="1">
      <c r="B67" s="674"/>
      <c r="C67" s="765"/>
      <c r="D67" s="678"/>
      <c r="E67" s="679"/>
      <c r="F67" s="679"/>
      <c r="G67" s="679"/>
      <c r="H67" s="689"/>
      <c r="I67" s="689"/>
      <c r="J67" s="680"/>
      <c r="K67" s="680"/>
      <c r="L67" s="681"/>
      <c r="M67" s="681"/>
      <c r="N67" s="51"/>
      <c r="O67" s="760"/>
      <c r="P67" s="760"/>
      <c r="Q67" s="698"/>
      <c r="R67" s="71"/>
      <c r="S67" s="71"/>
      <c r="T67" s="64"/>
      <c r="U67" s="64"/>
      <c r="W67" s="255"/>
      <c r="X67" s="255"/>
      <c r="Y67" s="255"/>
      <c r="Z67" s="255"/>
      <c r="AA67" s="273"/>
      <c r="AB67" s="273"/>
      <c r="AC67" s="273"/>
      <c r="AD67" s="273"/>
      <c r="AE67" s="273"/>
      <c r="AF67" s="273"/>
      <c r="AG67" s="255"/>
      <c r="AH67" s="255"/>
      <c r="AI67" s="255"/>
      <c r="AJ67" s="255"/>
      <c r="AK67" s="255"/>
      <c r="AL67" s="255"/>
      <c r="AM67" s="255"/>
      <c r="AN67" s="255"/>
      <c r="AO67" s="255"/>
      <c r="AP67" s="255"/>
      <c r="AQ67" s="255"/>
      <c r="AR67" s="255"/>
      <c r="AS67" s="255"/>
      <c r="AT67" s="255"/>
      <c r="AU67" s="255"/>
      <c r="AV67" s="255"/>
      <c r="AW67" s="255"/>
      <c r="AX67" s="255"/>
      <c r="AY67" s="255"/>
      <c r="AZ67" s="255"/>
      <c r="BA67" s="255"/>
      <c r="BB67" s="255"/>
      <c r="BC67" s="255"/>
      <c r="BD67" s="255"/>
      <c r="BE67" s="255"/>
      <c r="BF67" s="255"/>
      <c r="BG67" s="255"/>
      <c r="BH67" s="255"/>
      <c r="BI67" s="393"/>
      <c r="BJ67" s="393"/>
      <c r="BK67" s="393"/>
      <c r="BL67" s="393"/>
      <c r="BM67" s="593"/>
      <c r="BN67" s="593"/>
      <c r="BO67" s="593"/>
      <c r="BP67" s="393"/>
      <c r="BQ67" s="393"/>
      <c r="BR67" s="393"/>
      <c r="BS67" s="393"/>
      <c r="BT67" s="393"/>
    </row>
    <row r="68" spans="2:72" s="324" customFormat="1" ht="12" customHeight="1">
      <c r="B68" s="672"/>
      <c r="C68" s="766"/>
      <c r="D68" s="678"/>
      <c r="E68" s="679"/>
      <c r="F68" s="679"/>
      <c r="G68" s="679"/>
      <c r="H68" s="680"/>
      <c r="I68" s="680"/>
      <c r="J68" s="680"/>
      <c r="K68" s="680"/>
      <c r="L68" s="681"/>
      <c r="M68" s="681"/>
      <c r="N68" s="51"/>
      <c r="O68" s="699"/>
      <c r="P68" s="699"/>
      <c r="Q68" s="699"/>
      <c r="R68" s="71"/>
      <c r="S68" s="71"/>
      <c r="T68" s="64"/>
      <c r="U68" s="64"/>
      <c r="W68" s="255"/>
      <c r="X68" s="255"/>
      <c r="Y68" s="255"/>
      <c r="Z68" s="255"/>
      <c r="AA68" s="255"/>
      <c r="AB68" s="255"/>
      <c r="AC68" s="255"/>
      <c r="AD68" s="273"/>
      <c r="AE68" s="273"/>
      <c r="AF68" s="273"/>
      <c r="AG68" s="255"/>
      <c r="AH68" s="255"/>
      <c r="AK68" s="255"/>
      <c r="AL68" s="255"/>
      <c r="AM68" s="255"/>
      <c r="AN68" s="255"/>
      <c r="AO68" s="255"/>
      <c r="AP68" s="255"/>
      <c r="AQ68" s="255"/>
      <c r="AR68" s="255"/>
      <c r="AS68" s="255"/>
      <c r="AT68" s="255"/>
      <c r="AU68" s="255"/>
      <c r="AV68" s="255"/>
      <c r="AW68" s="255"/>
      <c r="AX68" s="255"/>
      <c r="AY68" s="255"/>
      <c r="AZ68" s="255"/>
      <c r="BA68" s="255"/>
      <c r="BB68" s="255"/>
      <c r="BC68" s="255"/>
      <c r="BD68" s="255"/>
      <c r="BE68" s="255"/>
      <c r="BF68" s="255"/>
      <c r="BG68" s="255"/>
      <c r="BH68" s="255"/>
      <c r="BI68" s="393"/>
      <c r="BJ68" s="393"/>
      <c r="BK68" s="393"/>
      <c r="BL68" s="393"/>
      <c r="BM68" s="593"/>
      <c r="BN68" s="593"/>
      <c r="BO68" s="593"/>
      <c r="BP68" s="393"/>
      <c r="BQ68" s="393"/>
      <c r="BR68" s="393"/>
      <c r="BS68" s="393"/>
      <c r="BT68" s="393"/>
    </row>
    <row r="69" spans="2:72" s="324" customFormat="1" ht="12" customHeight="1">
      <c r="B69" s="672"/>
      <c r="C69" s="766"/>
      <c r="D69" s="678"/>
      <c r="E69" s="679"/>
      <c r="F69" s="679"/>
      <c r="G69" s="679"/>
      <c r="H69" s="689"/>
      <c r="I69" s="680"/>
      <c r="J69" s="680"/>
      <c r="K69" s="680"/>
      <c r="L69" s="681"/>
      <c r="M69" s="681"/>
      <c r="N69" s="51"/>
      <c r="O69" s="699"/>
      <c r="P69" s="699"/>
      <c r="Q69" s="699"/>
      <c r="R69" s="71"/>
      <c r="S69" s="71"/>
      <c r="T69" s="64"/>
      <c r="U69" s="64"/>
      <c r="W69" s="255"/>
      <c r="X69" s="255"/>
      <c r="Y69" s="255"/>
      <c r="Z69" s="255"/>
      <c r="AA69" s="255"/>
      <c r="AB69" s="255"/>
      <c r="AC69" s="255"/>
      <c r="AD69" s="273"/>
      <c r="AE69" s="273"/>
      <c r="AF69" s="273"/>
      <c r="AG69" s="255"/>
      <c r="AH69" s="255"/>
      <c r="AK69" s="255"/>
      <c r="AL69" s="255"/>
      <c r="AM69" s="255"/>
      <c r="AN69" s="255"/>
      <c r="AO69" s="255"/>
      <c r="AP69" s="255"/>
      <c r="AQ69" s="255"/>
      <c r="AR69" s="255"/>
      <c r="AS69" s="255"/>
      <c r="AT69" s="255"/>
      <c r="AU69" s="255"/>
      <c r="AV69" s="255"/>
      <c r="AW69" s="255"/>
      <c r="AX69" s="255"/>
      <c r="AY69" s="255"/>
      <c r="AZ69" s="255"/>
      <c r="BA69" s="255"/>
      <c r="BB69" s="255"/>
      <c r="BC69" s="255"/>
      <c r="BD69" s="255"/>
      <c r="BE69" s="255"/>
      <c r="BF69" s="255"/>
      <c r="BG69" s="255"/>
      <c r="BH69" s="255"/>
      <c r="BI69" s="393"/>
      <c r="BJ69" s="393"/>
      <c r="BK69" s="393"/>
      <c r="BL69" s="393"/>
      <c r="BM69" s="593"/>
      <c r="BN69" s="593"/>
      <c r="BO69" s="593"/>
      <c r="BP69" s="393"/>
      <c r="BQ69" s="393"/>
      <c r="BR69" s="393"/>
      <c r="BS69" s="393"/>
      <c r="BT69" s="393"/>
    </row>
    <row r="70" spans="2:72" s="324" customFormat="1" ht="12" customHeight="1">
      <c r="B70" s="674"/>
      <c r="C70" s="700"/>
      <c r="D70" s="678"/>
      <c r="E70" s="679"/>
      <c r="F70" s="679"/>
      <c r="G70" s="679"/>
      <c r="H70" s="689"/>
      <c r="I70" s="689"/>
      <c r="J70" s="680"/>
      <c r="K70" s="680"/>
      <c r="L70" s="681"/>
      <c r="M70" s="681"/>
      <c r="N70" s="51"/>
      <c r="O70" s="699"/>
      <c r="P70" s="699"/>
      <c r="Q70" s="699"/>
      <c r="R70" s="71"/>
      <c r="S70" s="71"/>
      <c r="T70" s="64"/>
      <c r="U70" s="64"/>
      <c r="W70" s="255"/>
      <c r="X70" s="255"/>
      <c r="Y70" s="255"/>
      <c r="Z70" s="255"/>
      <c r="AA70" s="255"/>
      <c r="AB70" s="255"/>
      <c r="AC70" s="255"/>
      <c r="AD70" s="273"/>
      <c r="AE70" s="273"/>
      <c r="AF70" s="273"/>
      <c r="AG70" s="255"/>
      <c r="AH70" s="255"/>
      <c r="AK70" s="255"/>
      <c r="AL70" s="255"/>
      <c r="AM70" s="255"/>
      <c r="AN70" s="255"/>
      <c r="AO70" s="255"/>
      <c r="AP70" s="255"/>
      <c r="AQ70" s="255"/>
      <c r="AR70" s="255"/>
      <c r="AS70" s="255"/>
      <c r="AT70" s="255"/>
      <c r="AU70" s="255"/>
      <c r="AV70" s="255"/>
      <c r="AW70" s="255"/>
      <c r="AX70" s="255"/>
      <c r="AY70" s="255"/>
      <c r="AZ70" s="255"/>
      <c r="BA70" s="255"/>
      <c r="BB70" s="255"/>
      <c r="BC70" s="255"/>
      <c r="BD70" s="255"/>
      <c r="BE70" s="255"/>
      <c r="BF70" s="255"/>
      <c r="BG70" s="255"/>
      <c r="BH70" s="255"/>
      <c r="BI70" s="255"/>
      <c r="BJ70" s="255"/>
      <c r="BK70" s="255"/>
      <c r="BL70" s="255"/>
      <c r="BM70" s="255"/>
      <c r="BN70" s="593"/>
      <c r="BO70" s="593"/>
      <c r="BP70" s="273"/>
      <c r="BQ70" s="273"/>
      <c r="BR70" s="273"/>
      <c r="BS70" s="273"/>
      <c r="BT70" s="273"/>
    </row>
    <row r="71" spans="2:72" s="324" customFormat="1" ht="12" customHeight="1">
      <c r="B71" s="373"/>
      <c r="C71" s="373"/>
      <c r="D71" s="678"/>
      <c r="E71" s="679"/>
      <c r="F71" s="679"/>
      <c r="G71" s="679"/>
      <c r="H71" s="689"/>
      <c r="I71" s="689"/>
      <c r="J71" s="680"/>
      <c r="K71" s="680"/>
      <c r="L71" s="681"/>
      <c r="M71" s="681"/>
      <c r="N71" s="85"/>
      <c r="Q71" s="699"/>
      <c r="R71" s="71"/>
      <c r="S71" s="71"/>
      <c r="T71" s="64"/>
      <c r="U71" s="64"/>
      <c r="X71" s="255"/>
      <c r="Y71" s="255"/>
      <c r="Z71" s="255"/>
      <c r="AA71" s="255"/>
      <c r="AB71" s="255"/>
      <c r="AC71" s="255"/>
      <c r="AD71" s="255"/>
      <c r="AE71" s="255"/>
      <c r="AF71" s="255"/>
      <c r="AG71" s="255"/>
      <c r="AH71" s="255"/>
      <c r="AK71" s="255"/>
      <c r="AL71" s="255"/>
      <c r="AM71" s="255"/>
      <c r="AN71" s="255"/>
      <c r="AO71" s="255"/>
      <c r="AP71" s="255"/>
      <c r="AQ71" s="255"/>
      <c r="AR71" s="255"/>
      <c r="AS71" s="255"/>
      <c r="AT71" s="255"/>
      <c r="AU71" s="255"/>
      <c r="AV71" s="255"/>
      <c r="AW71" s="255"/>
      <c r="AX71" s="255"/>
      <c r="AY71" s="255"/>
      <c r="AZ71" s="255"/>
      <c r="BA71" s="255"/>
      <c r="BB71" s="255"/>
      <c r="BC71" s="255"/>
      <c r="BD71" s="255"/>
      <c r="BE71" s="255"/>
      <c r="BF71" s="255"/>
      <c r="BG71" s="255"/>
      <c r="BH71" s="255"/>
      <c r="BI71" s="255"/>
      <c r="BJ71" s="255"/>
      <c r="BK71" s="255"/>
      <c r="BL71" s="255"/>
      <c r="BM71" s="712"/>
      <c r="BN71" s="255"/>
      <c r="BO71" s="255"/>
      <c r="BP71" s="255"/>
      <c r="BQ71" s="255"/>
      <c r="BR71" s="255"/>
      <c r="BS71" s="255"/>
      <c r="BT71" s="255"/>
    </row>
    <row r="72" spans="2:72" s="324" customFormat="1" ht="12" customHeight="1">
      <c r="B72" s="373"/>
      <c r="C72" s="373"/>
      <c r="D72" s="678"/>
      <c r="E72" s="679"/>
      <c r="F72" s="679"/>
      <c r="G72" s="679"/>
      <c r="H72" s="689"/>
      <c r="I72" s="689"/>
      <c r="J72" s="680"/>
      <c r="K72" s="680"/>
      <c r="L72" s="681"/>
      <c r="M72" s="681"/>
      <c r="N72" s="85"/>
      <c r="Q72" s="699"/>
      <c r="R72" s="71"/>
      <c r="S72" s="71"/>
      <c r="T72" s="64"/>
      <c r="U72" s="64"/>
      <c r="X72" s="255"/>
      <c r="Y72" s="255"/>
      <c r="Z72" s="255"/>
      <c r="AA72" s="255"/>
      <c r="AB72" s="255"/>
      <c r="AC72" s="255"/>
      <c r="AD72" s="255"/>
      <c r="AE72" s="255"/>
      <c r="AF72" s="255"/>
      <c r="AG72" s="255"/>
      <c r="AH72" s="255"/>
      <c r="AK72" s="255"/>
      <c r="AL72" s="255"/>
      <c r="AM72" s="255"/>
      <c r="AN72" s="255"/>
      <c r="AO72" s="255"/>
      <c r="AP72" s="255"/>
      <c r="AQ72" s="255"/>
      <c r="AR72" s="255"/>
      <c r="AS72" s="255"/>
      <c r="AT72" s="255"/>
      <c r="AU72" s="255"/>
      <c r="AV72" s="255"/>
      <c r="AW72" s="255"/>
      <c r="AX72" s="255"/>
      <c r="AY72" s="255"/>
      <c r="AZ72" s="255"/>
      <c r="BA72" s="255"/>
      <c r="BB72" s="255"/>
      <c r="BC72" s="255"/>
      <c r="BD72" s="255"/>
      <c r="BE72" s="255"/>
      <c r="BF72" s="255"/>
      <c r="BG72" s="255"/>
      <c r="BH72" s="255"/>
      <c r="BI72" s="255"/>
      <c r="BJ72" s="255"/>
      <c r="BK72" s="255"/>
      <c r="BL72" s="255"/>
      <c r="BM72" s="712"/>
      <c r="BN72" s="255"/>
      <c r="BO72" s="255"/>
      <c r="BP72" s="255"/>
      <c r="BQ72" s="255"/>
      <c r="BR72" s="255"/>
      <c r="BS72" s="255"/>
      <c r="BT72" s="255"/>
    </row>
    <row r="73" spans="2:72" s="324" customFormat="1" ht="12" customHeight="1">
      <c r="B73" s="373"/>
      <c r="C73" s="373"/>
      <c r="D73" s="678"/>
      <c r="E73" s="679"/>
      <c r="F73" s="679"/>
      <c r="G73" s="679"/>
      <c r="H73" s="689"/>
      <c r="I73" s="689"/>
      <c r="J73" s="680"/>
      <c r="K73" s="680"/>
      <c r="L73" s="681"/>
      <c r="M73" s="681"/>
      <c r="N73" s="85"/>
      <c r="Q73" s="699"/>
      <c r="R73" s="71"/>
      <c r="S73" s="71"/>
      <c r="T73" s="64"/>
      <c r="U73" s="64"/>
      <c r="X73" s="255"/>
      <c r="Y73" s="255"/>
      <c r="Z73" s="255"/>
      <c r="AA73" s="255"/>
      <c r="AB73" s="255"/>
      <c r="AC73" s="255"/>
      <c r="AD73" s="255"/>
      <c r="AE73" s="255"/>
      <c r="AF73" s="255"/>
      <c r="AG73" s="255"/>
      <c r="AH73" s="255"/>
      <c r="AK73" s="255"/>
      <c r="AL73" s="255"/>
      <c r="AM73" s="255"/>
      <c r="AN73" s="255"/>
      <c r="AO73" s="255"/>
      <c r="AP73" s="255"/>
      <c r="AQ73" s="255"/>
      <c r="AR73" s="255"/>
      <c r="AS73" s="255"/>
      <c r="AT73" s="255"/>
      <c r="AU73" s="255"/>
      <c r="AV73" s="255"/>
      <c r="AW73" s="255"/>
      <c r="AX73" s="255"/>
      <c r="AY73" s="255"/>
      <c r="AZ73" s="255"/>
      <c r="BA73" s="255"/>
      <c r="BB73" s="255"/>
      <c r="BC73" s="255"/>
      <c r="BD73" s="255"/>
      <c r="BE73" s="255"/>
      <c r="BF73" s="255"/>
      <c r="BG73" s="255"/>
      <c r="BH73" s="255"/>
      <c r="BI73" s="255"/>
      <c r="BJ73" s="255"/>
      <c r="BK73" s="255"/>
      <c r="BL73" s="255"/>
      <c r="BM73" s="712"/>
      <c r="BN73" s="255"/>
      <c r="BO73" s="255"/>
      <c r="BP73" s="255"/>
      <c r="BQ73" s="255"/>
      <c r="BR73" s="255"/>
      <c r="BS73" s="255"/>
      <c r="BT73" s="255"/>
    </row>
    <row r="74" spans="2:69" s="324" customFormat="1" ht="12" customHeight="1">
      <c r="B74" s="373"/>
      <c r="C74" s="373"/>
      <c r="D74" s="678"/>
      <c r="E74" s="679"/>
      <c r="F74" s="679"/>
      <c r="G74" s="679"/>
      <c r="H74" s="681"/>
      <c r="I74" s="681"/>
      <c r="J74" s="681"/>
      <c r="K74" s="681"/>
      <c r="L74" s="681"/>
      <c r="M74" s="681"/>
      <c r="N74" s="85"/>
      <c r="Q74" s="699"/>
      <c r="R74" s="71"/>
      <c r="S74" s="71"/>
      <c r="T74" s="64"/>
      <c r="U74" s="64"/>
      <c r="X74" s="255"/>
      <c r="Y74" s="255"/>
      <c r="Z74" s="255"/>
      <c r="AA74" s="255"/>
      <c r="AB74" s="255"/>
      <c r="AC74" s="255"/>
      <c r="AD74" s="255"/>
      <c r="AE74" s="255"/>
      <c r="AF74" s="255"/>
      <c r="AG74" s="255"/>
      <c r="AH74" s="255"/>
      <c r="AK74" s="255"/>
      <c r="AL74" s="255"/>
      <c r="AM74" s="255"/>
      <c r="AN74" s="255"/>
      <c r="AO74" s="255"/>
      <c r="AP74" s="255"/>
      <c r="AQ74" s="255"/>
      <c r="AR74" s="255"/>
      <c r="AS74" s="255"/>
      <c r="AT74" s="255"/>
      <c r="AU74" s="255"/>
      <c r="AV74" s="255"/>
      <c r="AW74" s="255"/>
      <c r="AX74" s="255"/>
      <c r="AY74" s="255"/>
      <c r="AZ74" s="255"/>
      <c r="BA74" s="255"/>
      <c r="BB74" s="255"/>
      <c r="BC74" s="255"/>
      <c r="BD74" s="255"/>
      <c r="BE74" s="255"/>
      <c r="BF74" s="255"/>
      <c r="BG74" s="255"/>
      <c r="BH74" s="255"/>
      <c r="BI74" s="255"/>
      <c r="BJ74" s="255"/>
      <c r="BK74" s="255"/>
      <c r="BL74" s="255"/>
      <c r="BM74" s="255"/>
      <c r="BN74" s="255"/>
      <c r="BO74" s="255"/>
      <c r="BP74" s="255"/>
      <c r="BQ74" s="255"/>
    </row>
    <row r="75" spans="2:72" s="324" customFormat="1" ht="12" customHeight="1">
      <c r="B75" s="373"/>
      <c r="C75" s="373"/>
      <c r="D75" s="678"/>
      <c r="E75" s="679"/>
      <c r="F75" s="679"/>
      <c r="G75" s="679"/>
      <c r="H75" s="681"/>
      <c r="I75" s="681"/>
      <c r="J75" s="681"/>
      <c r="K75" s="681"/>
      <c r="L75" s="681"/>
      <c r="M75" s="681"/>
      <c r="N75" s="85"/>
      <c r="Q75" s="699"/>
      <c r="R75" s="71"/>
      <c r="S75" s="71"/>
      <c r="T75" s="64"/>
      <c r="U75" s="64"/>
      <c r="Y75" s="255"/>
      <c r="Z75" s="255"/>
      <c r="AA75" s="255"/>
      <c r="AB75" s="255"/>
      <c r="AC75" s="255"/>
      <c r="AD75" s="255"/>
      <c r="AE75" s="255"/>
      <c r="AF75" s="255"/>
      <c r="AH75" s="255"/>
      <c r="AK75" s="255"/>
      <c r="AL75" s="255"/>
      <c r="AM75" s="255"/>
      <c r="AN75" s="255"/>
      <c r="AO75" s="255"/>
      <c r="AP75" s="255"/>
      <c r="AQ75" s="255"/>
      <c r="AR75" s="255"/>
      <c r="AS75" s="255"/>
      <c r="AT75" s="255"/>
      <c r="AU75" s="255"/>
      <c r="AV75" s="255"/>
      <c r="AW75" s="255"/>
      <c r="AX75" s="255"/>
      <c r="AY75" s="255"/>
      <c r="AZ75" s="255"/>
      <c r="BA75" s="255"/>
      <c r="BB75" s="255"/>
      <c r="BC75" s="255"/>
      <c r="BD75" s="255"/>
      <c r="BE75" s="255"/>
      <c r="BF75" s="255"/>
      <c r="BG75" s="255"/>
      <c r="BH75" s="255"/>
      <c r="BI75" s="255"/>
      <c r="BJ75" s="255"/>
      <c r="BK75" s="255"/>
      <c r="BL75" s="255"/>
      <c r="BM75" s="333"/>
      <c r="BN75" s="333"/>
      <c r="BO75" s="333"/>
      <c r="BP75" s="255"/>
      <c r="BQ75" s="255"/>
      <c r="BR75" s="255"/>
      <c r="BS75" s="255"/>
      <c r="BT75" s="255"/>
    </row>
    <row r="76" spans="2:72" s="324" customFormat="1" ht="12" customHeight="1">
      <c r="B76" s="373"/>
      <c r="C76" s="373"/>
      <c r="D76" s="678"/>
      <c r="E76" s="679"/>
      <c r="F76" s="679"/>
      <c r="G76" s="679"/>
      <c r="H76" s="681"/>
      <c r="I76" s="681"/>
      <c r="J76" s="681"/>
      <c r="K76" s="681"/>
      <c r="L76" s="681"/>
      <c r="M76" s="681"/>
      <c r="N76" s="85"/>
      <c r="O76" s="701"/>
      <c r="Q76" s="699"/>
      <c r="R76" s="71"/>
      <c r="S76" s="71"/>
      <c r="T76" s="64"/>
      <c r="U76" s="64"/>
      <c r="Y76" s="255"/>
      <c r="Z76" s="255"/>
      <c r="AA76" s="255"/>
      <c r="AB76" s="255"/>
      <c r="AC76" s="255"/>
      <c r="AD76" s="255"/>
      <c r="AE76" s="255"/>
      <c r="AF76" s="651"/>
      <c r="AH76" s="651"/>
      <c r="AK76" s="255"/>
      <c r="AL76" s="255"/>
      <c r="AM76" s="255"/>
      <c r="AN76" s="255"/>
      <c r="AO76" s="255"/>
      <c r="AP76" s="255"/>
      <c r="AQ76" s="255"/>
      <c r="AR76" s="255"/>
      <c r="AS76" s="255"/>
      <c r="AT76" s="255"/>
      <c r="AU76" s="255"/>
      <c r="AV76" s="255"/>
      <c r="AW76" s="255"/>
      <c r="AX76" s="255"/>
      <c r="AY76" s="255"/>
      <c r="AZ76" s="255"/>
      <c r="BA76" s="255"/>
      <c r="BB76" s="255"/>
      <c r="BC76" s="255"/>
      <c r="BD76" s="255"/>
      <c r="BE76" s="255"/>
      <c r="BF76" s="255"/>
      <c r="BG76" s="255"/>
      <c r="BH76" s="255"/>
      <c r="BI76" s="656"/>
      <c r="BJ76" s="255"/>
      <c r="BK76" s="255"/>
      <c r="BL76" s="255"/>
      <c r="BM76" s="255"/>
      <c r="BN76" s="255"/>
      <c r="BO76" s="255"/>
      <c r="BP76" s="255"/>
      <c r="BQ76" s="255"/>
      <c r="BS76" s="333"/>
      <c r="BT76" s="255"/>
    </row>
    <row r="77" spans="2:72" s="324" customFormat="1" ht="12" customHeight="1">
      <c r="B77" s="767"/>
      <c r="C77" s="702"/>
      <c r="D77" s="703"/>
      <c r="E77" s="704"/>
      <c r="F77" s="705"/>
      <c r="G77" s="705"/>
      <c r="H77" s="705"/>
      <c r="I77" s="705"/>
      <c r="J77" s="705"/>
      <c r="K77" s="705"/>
      <c r="L77" s="680"/>
      <c r="M77" s="706"/>
      <c r="N77" s="85"/>
      <c r="O77" s="707"/>
      <c r="P77" s="708"/>
      <c r="Q77" s="699"/>
      <c r="R77" s="71"/>
      <c r="S77" s="71"/>
      <c r="T77" s="255"/>
      <c r="U77" s="64"/>
      <c r="Y77" s="255"/>
      <c r="Z77" s="255"/>
      <c r="AA77" s="255"/>
      <c r="AB77" s="255"/>
      <c r="AC77" s="255"/>
      <c r="AD77" s="255"/>
      <c r="AE77" s="255"/>
      <c r="AF77" s="651"/>
      <c r="AH77" s="651"/>
      <c r="AK77" s="255"/>
      <c r="AL77" s="255"/>
      <c r="AM77" s="255"/>
      <c r="AN77" s="255"/>
      <c r="AO77" s="255"/>
      <c r="AP77" s="255"/>
      <c r="AQ77" s="255"/>
      <c r="AR77" s="255"/>
      <c r="AS77" s="255"/>
      <c r="AT77" s="255"/>
      <c r="AU77" s="255"/>
      <c r="AV77" s="255"/>
      <c r="AW77" s="255"/>
      <c r="AX77" s="255"/>
      <c r="AY77" s="255"/>
      <c r="AZ77" s="255"/>
      <c r="BA77" s="255"/>
      <c r="BB77" s="255"/>
      <c r="BC77" s="255"/>
      <c r="BD77" s="255"/>
      <c r="BE77" s="255"/>
      <c r="BF77" s="255"/>
      <c r="BG77" s="255"/>
      <c r="BH77" s="255"/>
      <c r="BI77" s="273"/>
      <c r="BJ77" s="273"/>
      <c r="BK77" s="273"/>
      <c r="BL77" s="273"/>
      <c r="BM77" s="255"/>
      <c r="BN77" s="255"/>
      <c r="BO77" s="255"/>
      <c r="BP77" s="659"/>
      <c r="BQ77" s="255"/>
      <c r="BR77" s="671"/>
      <c r="BS77" s="333"/>
      <c r="BT77" s="255"/>
    </row>
    <row r="78" spans="2:72" s="324" customFormat="1" ht="12" customHeight="1">
      <c r="B78" s="767"/>
      <c r="C78" s="712"/>
      <c r="D78" s="713"/>
      <c r="E78" s="704"/>
      <c r="F78" s="768"/>
      <c r="G78" s="768"/>
      <c r="H78" s="768"/>
      <c r="I78" s="768"/>
      <c r="J78" s="768"/>
      <c r="K78" s="768"/>
      <c r="L78" s="704"/>
      <c r="M78" s="714"/>
      <c r="O78" s="707"/>
      <c r="P78" s="708"/>
      <c r="Q78" s="699"/>
      <c r="R78" s="769"/>
      <c r="S78" s="64"/>
      <c r="T78" s="255"/>
      <c r="U78" s="64"/>
      <c r="Y78" s="255"/>
      <c r="Z78" s="255"/>
      <c r="AA78" s="255"/>
      <c r="AB78" s="255"/>
      <c r="AC78" s="255"/>
      <c r="AD78" s="255"/>
      <c r="AE78" s="255"/>
      <c r="AF78" s="255"/>
      <c r="AK78" s="255"/>
      <c r="AL78" s="255"/>
      <c r="AM78" s="255"/>
      <c r="AN78" s="255"/>
      <c r="AO78" s="255"/>
      <c r="AP78" s="255"/>
      <c r="AQ78" s="255"/>
      <c r="AR78" s="255"/>
      <c r="AS78" s="255"/>
      <c r="AT78" s="255"/>
      <c r="AU78" s="255"/>
      <c r="AV78" s="255"/>
      <c r="AW78" s="255"/>
      <c r="AX78" s="255"/>
      <c r="AY78" s="255"/>
      <c r="AZ78" s="255"/>
      <c r="BA78" s="255"/>
      <c r="BB78" s="669"/>
      <c r="BC78" s="669"/>
      <c r="BD78" s="255"/>
      <c r="BE78" s="255"/>
      <c r="BF78" s="255"/>
      <c r="BG78" s="255"/>
      <c r="BH78" s="255"/>
      <c r="BI78" s="255"/>
      <c r="BJ78" s="255"/>
      <c r="BK78" s="333"/>
      <c r="BL78" s="273"/>
      <c r="BM78" s="255"/>
      <c r="BN78" s="255"/>
      <c r="BO78" s="255"/>
      <c r="BP78" s="659"/>
      <c r="BQ78" s="64"/>
      <c r="BR78" s="333"/>
      <c r="BS78" s="333"/>
      <c r="BT78" s="255"/>
    </row>
    <row r="79" spans="2:72" s="324" customFormat="1" ht="12" customHeight="1">
      <c r="B79" s="717"/>
      <c r="C79" s="718"/>
      <c r="D79" s="719"/>
      <c r="E79" s="720"/>
      <c r="F79" s="720"/>
      <c r="G79" s="721"/>
      <c r="H79" s="722"/>
      <c r="I79" s="722"/>
      <c r="J79" s="722"/>
      <c r="K79" s="722"/>
      <c r="L79" s="723"/>
      <c r="M79" s="724"/>
      <c r="N79" s="51"/>
      <c r="O79" s="699"/>
      <c r="P79" s="699"/>
      <c r="Q79" s="699"/>
      <c r="R79" s="64"/>
      <c r="S79" s="64"/>
      <c r="T79" s="64"/>
      <c r="U79" s="64"/>
      <c r="Y79" s="255"/>
      <c r="Z79" s="255"/>
      <c r="AA79" s="255"/>
      <c r="AB79" s="255"/>
      <c r="AC79" s="255"/>
      <c r="AD79" s="255"/>
      <c r="AE79" s="255"/>
      <c r="AF79" s="255"/>
      <c r="AJ79" s="725"/>
      <c r="AK79" s="255"/>
      <c r="AL79" s="255"/>
      <c r="AM79" s="255"/>
      <c r="AN79" s="255"/>
      <c r="AO79" s="255"/>
      <c r="AP79" s="255"/>
      <c r="AQ79" s="255"/>
      <c r="AR79" s="255"/>
      <c r="AS79" s="255"/>
      <c r="AT79" s="255"/>
      <c r="AU79" s="255"/>
      <c r="AV79" s="255"/>
      <c r="AW79" s="255"/>
      <c r="AX79" s="255"/>
      <c r="AY79" s="255"/>
      <c r="AZ79" s="255"/>
      <c r="BA79" s="255"/>
      <c r="BB79" s="255"/>
      <c r="BC79" s="255"/>
      <c r="BD79" s="255"/>
      <c r="BE79" s="255"/>
      <c r="BF79" s="255"/>
      <c r="BG79" s="255"/>
      <c r="BH79" s="255"/>
      <c r="BI79" s="726"/>
      <c r="BJ79" s="255"/>
      <c r="BK79" s="255"/>
      <c r="BL79" s="255"/>
      <c r="BM79" s="255"/>
      <c r="BN79" s="255"/>
      <c r="BO79" s="255"/>
      <c r="BP79" s="659"/>
      <c r="BQ79" s="64"/>
      <c r="BR79" s="333"/>
      <c r="BS79" s="333"/>
      <c r="BT79" s="255"/>
    </row>
    <row r="80" spans="2:72" s="324" customFormat="1" ht="12" customHeight="1">
      <c r="B80" s="712"/>
      <c r="C80" s="712"/>
      <c r="D80" s="712"/>
      <c r="E80" s="712"/>
      <c r="F80" s="712"/>
      <c r="G80" s="712"/>
      <c r="H80" s="671"/>
      <c r="I80" s="671"/>
      <c r="J80" s="728"/>
      <c r="K80" s="729"/>
      <c r="L80" s="671"/>
      <c r="M80" s="64"/>
      <c r="N80" s="51"/>
      <c r="O80" s="699"/>
      <c r="P80" s="699"/>
      <c r="Q80" s="699"/>
      <c r="R80" s="657"/>
      <c r="S80" s="657"/>
      <c r="T80" s="255"/>
      <c r="U80" s="64"/>
      <c r="Y80" s="255"/>
      <c r="Z80" s="255"/>
      <c r="AA80" s="255"/>
      <c r="AB80" s="255"/>
      <c r="AC80" s="255"/>
      <c r="AD80" s="255"/>
      <c r="AE80" s="255"/>
      <c r="AF80" s="255"/>
      <c r="AK80" s="255"/>
      <c r="AL80" s="255"/>
      <c r="AM80" s="255"/>
      <c r="AN80" s="255"/>
      <c r="AO80" s="255"/>
      <c r="AP80" s="255"/>
      <c r="AQ80" s="255"/>
      <c r="AR80" s="255"/>
      <c r="AS80" s="255"/>
      <c r="AT80" s="255"/>
      <c r="AU80" s="255"/>
      <c r="AV80" s="255"/>
      <c r="AW80" s="255"/>
      <c r="AX80" s="255"/>
      <c r="AY80" s="255"/>
      <c r="AZ80" s="255"/>
      <c r="BA80" s="255"/>
      <c r="BB80" s="255"/>
      <c r="BC80" s="255"/>
      <c r="BD80" s="255"/>
      <c r="BE80" s="255"/>
      <c r="BF80" s="255"/>
      <c r="BG80" s="255"/>
      <c r="BH80" s="255"/>
      <c r="BI80" s="255"/>
      <c r="BJ80" s="255"/>
      <c r="BK80" s="255"/>
      <c r="BL80" s="255"/>
      <c r="BM80" s="255"/>
      <c r="BN80" s="255"/>
      <c r="BO80" s="255"/>
      <c r="BP80" s="659"/>
      <c r="BQ80" s="64"/>
      <c r="BR80" s="333"/>
      <c r="BS80" s="333"/>
      <c r="BT80" s="255"/>
    </row>
    <row r="81" spans="8:72" s="324" customFormat="1" ht="12" customHeight="1">
      <c r="H81" s="671"/>
      <c r="I81" s="671"/>
      <c r="J81" s="730"/>
      <c r="K81" s="671"/>
      <c r="L81" s="671"/>
      <c r="M81" s="255"/>
      <c r="R81" s="63"/>
      <c r="S81" s="64"/>
      <c r="T81" s="255"/>
      <c r="U81" s="64"/>
      <c r="Y81" s="255"/>
      <c r="Z81" s="255"/>
      <c r="AA81" s="255"/>
      <c r="AB81" s="255"/>
      <c r="AC81" s="255"/>
      <c r="AD81" s="273"/>
      <c r="AE81" s="255"/>
      <c r="AF81" s="255"/>
      <c r="AK81" s="255"/>
      <c r="AL81" s="255"/>
      <c r="AM81" s="255"/>
      <c r="AN81" s="255"/>
      <c r="AO81" s="255"/>
      <c r="AP81" s="255"/>
      <c r="AQ81" s="255"/>
      <c r="AR81" s="255"/>
      <c r="AS81" s="255"/>
      <c r="AT81" s="255"/>
      <c r="AU81" s="255"/>
      <c r="AV81" s="255"/>
      <c r="AW81" s="255"/>
      <c r="AX81" s="255"/>
      <c r="AY81" s="255"/>
      <c r="AZ81" s="255"/>
      <c r="BA81" s="255"/>
      <c r="BB81" s="255"/>
      <c r="BC81" s="255"/>
      <c r="BD81" s="255"/>
      <c r="BE81" s="255"/>
      <c r="BF81" s="255"/>
      <c r="BG81" s="255"/>
      <c r="BH81" s="255"/>
      <c r="BI81" s="656"/>
      <c r="BJ81" s="255"/>
      <c r="BK81" s="255"/>
      <c r="BL81" s="255"/>
      <c r="BM81" s="255"/>
      <c r="BN81" s="255"/>
      <c r="BO81" s="255"/>
      <c r="BP81" s="659"/>
      <c r="BQ81" s="64"/>
      <c r="BR81" s="333"/>
      <c r="BS81" s="333"/>
      <c r="BT81" s="255"/>
    </row>
    <row r="82" spans="9:72" s="324" customFormat="1" ht="12" customHeight="1">
      <c r="I82" s="671"/>
      <c r="J82" s="731"/>
      <c r="K82" s="671"/>
      <c r="L82" s="730"/>
      <c r="M82" s="732"/>
      <c r="R82" s="63"/>
      <c r="S82" s="64"/>
      <c r="T82" s="255"/>
      <c r="U82" s="64"/>
      <c r="Y82" s="255"/>
      <c r="Z82" s="255"/>
      <c r="AA82" s="255"/>
      <c r="AB82" s="255"/>
      <c r="AC82" s="255"/>
      <c r="AD82" s="255"/>
      <c r="AE82" s="255"/>
      <c r="AF82" s="255"/>
      <c r="AK82" s="255"/>
      <c r="AL82" s="255"/>
      <c r="AM82" s="255"/>
      <c r="AN82" s="255"/>
      <c r="AO82" s="255"/>
      <c r="AP82" s="255"/>
      <c r="AQ82" s="255"/>
      <c r="AR82" s="255"/>
      <c r="AS82" s="255"/>
      <c r="AT82" s="255"/>
      <c r="AU82" s="255"/>
      <c r="AV82" s="255"/>
      <c r="AW82" s="255"/>
      <c r="AX82" s="255"/>
      <c r="AY82" s="255"/>
      <c r="AZ82" s="255"/>
      <c r="BA82" s="255"/>
      <c r="BB82" s="255"/>
      <c r="BC82" s="255"/>
      <c r="BD82" s="255"/>
      <c r="BE82" s="255"/>
      <c r="BF82" s="255"/>
      <c r="BG82" s="255"/>
      <c r="BH82" s="255"/>
      <c r="BI82" s="255"/>
      <c r="BJ82" s="255"/>
      <c r="BK82" s="255"/>
      <c r="BL82" s="255"/>
      <c r="BM82" s="255"/>
      <c r="BN82" s="255"/>
      <c r="BO82" s="255"/>
      <c r="BP82" s="659"/>
      <c r="BQ82" s="64"/>
      <c r="BR82" s="333"/>
      <c r="BS82" s="333"/>
      <c r="BT82" s="255"/>
    </row>
    <row r="83" spans="8:72" s="324" customFormat="1" ht="12" customHeight="1">
      <c r="H83" s="671"/>
      <c r="I83" s="671"/>
      <c r="J83" s="733"/>
      <c r="K83" s="671"/>
      <c r="L83" s="730"/>
      <c r="M83" s="255"/>
      <c r="R83" s="63"/>
      <c r="S83" s="64"/>
      <c r="T83" s="255"/>
      <c r="U83" s="64"/>
      <c r="Y83" s="255"/>
      <c r="Z83" s="255"/>
      <c r="AA83" s="255"/>
      <c r="AB83" s="255"/>
      <c r="AC83" s="255"/>
      <c r="AD83" s="255"/>
      <c r="AE83" s="255"/>
      <c r="AF83" s="255"/>
      <c r="AK83" s="255"/>
      <c r="AL83" s="255"/>
      <c r="AM83" s="255"/>
      <c r="AN83" s="255"/>
      <c r="AO83" s="255"/>
      <c r="AP83" s="255"/>
      <c r="AQ83" s="255"/>
      <c r="AR83" s="255"/>
      <c r="AS83" s="255"/>
      <c r="AT83" s="255"/>
      <c r="AU83" s="255"/>
      <c r="AV83" s="255"/>
      <c r="AW83" s="255"/>
      <c r="AX83" s="255"/>
      <c r="AY83" s="255"/>
      <c r="AZ83" s="255"/>
      <c r="BA83" s="255"/>
      <c r="BB83" s="255"/>
      <c r="BC83" s="255"/>
      <c r="BD83" s="255"/>
      <c r="BE83" s="255"/>
      <c r="BF83" s="255"/>
      <c r="BG83" s="255"/>
      <c r="BH83" s="255"/>
      <c r="BI83" s="255"/>
      <c r="BJ83" s="255"/>
      <c r="BK83" s="255"/>
      <c r="BL83" s="255"/>
      <c r="BM83" s="255"/>
      <c r="BN83" s="255"/>
      <c r="BO83" s="255"/>
      <c r="BP83" s="659"/>
      <c r="BQ83" s="64"/>
      <c r="BR83" s="333"/>
      <c r="BS83" s="333"/>
      <c r="BT83" s="255"/>
    </row>
    <row r="84" spans="12:72" s="324" customFormat="1" ht="12" customHeight="1">
      <c r="L84" s="645"/>
      <c r="O84" s="333"/>
      <c r="R84" s="63"/>
      <c r="S84" s="64"/>
      <c r="T84" s="64"/>
      <c r="U84" s="64"/>
      <c r="Y84" s="255"/>
      <c r="Z84" s="255"/>
      <c r="AA84" s="255"/>
      <c r="AB84" s="255"/>
      <c r="AC84" s="255"/>
      <c r="AD84" s="255"/>
      <c r="AE84" s="255"/>
      <c r="AF84" s="255"/>
      <c r="AK84" s="255"/>
      <c r="AL84" s="255"/>
      <c r="AM84" s="255"/>
      <c r="AN84" s="255"/>
      <c r="AO84" s="255"/>
      <c r="AP84" s="255"/>
      <c r="AQ84" s="255"/>
      <c r="AR84" s="255"/>
      <c r="AS84" s="255"/>
      <c r="AT84" s="255"/>
      <c r="AU84" s="255"/>
      <c r="AV84" s="255"/>
      <c r="AW84" s="255"/>
      <c r="AX84" s="255"/>
      <c r="AY84" s="255"/>
      <c r="AZ84" s="255"/>
      <c r="BA84" s="255"/>
      <c r="BB84" s="255"/>
      <c r="BC84" s="255"/>
      <c r="BD84" s="255"/>
      <c r="BE84" s="255"/>
      <c r="BF84" s="255"/>
      <c r="BG84" s="255"/>
      <c r="BH84" s="255"/>
      <c r="BI84" s="255"/>
      <c r="BJ84" s="255"/>
      <c r="BK84" s="255"/>
      <c r="BL84" s="255"/>
      <c r="BM84" s="255"/>
      <c r="BN84" s="255"/>
      <c r="BO84" s="255"/>
      <c r="BP84" s="659"/>
      <c r="BQ84" s="64"/>
      <c r="BR84" s="333"/>
      <c r="BS84" s="333"/>
      <c r="BT84" s="255"/>
    </row>
    <row r="85" spans="12:72" s="324" customFormat="1" ht="12" customHeight="1">
      <c r="L85" s="645"/>
      <c r="O85" s="333"/>
      <c r="R85" s="63"/>
      <c r="S85" s="64"/>
      <c r="T85" s="255"/>
      <c r="U85" s="64"/>
      <c r="Y85" s="255"/>
      <c r="Z85" s="255"/>
      <c r="AA85" s="255"/>
      <c r="AB85" s="255"/>
      <c r="AC85" s="255"/>
      <c r="AD85" s="255"/>
      <c r="AE85" s="255"/>
      <c r="AF85" s="255"/>
      <c r="AK85" s="255"/>
      <c r="AL85" s="255"/>
      <c r="AM85" s="255"/>
      <c r="AN85" s="255"/>
      <c r="AO85" s="255"/>
      <c r="AP85" s="255"/>
      <c r="AQ85" s="255"/>
      <c r="AR85" s="255"/>
      <c r="AS85" s="255"/>
      <c r="AT85" s="255"/>
      <c r="AU85" s="255"/>
      <c r="AV85" s="255"/>
      <c r="AW85" s="255"/>
      <c r="AX85" s="255"/>
      <c r="AY85" s="255"/>
      <c r="AZ85" s="255"/>
      <c r="BA85" s="255"/>
      <c r="BB85" s="255"/>
      <c r="BC85" s="255"/>
      <c r="BD85" s="255"/>
      <c r="BE85" s="255"/>
      <c r="BF85" s="255"/>
      <c r="BG85" s="255"/>
      <c r="BH85" s="255"/>
      <c r="BI85" s="255"/>
      <c r="BJ85" s="255"/>
      <c r="BK85" s="255"/>
      <c r="BL85" s="255"/>
      <c r="BM85" s="255"/>
      <c r="BN85" s="255"/>
      <c r="BO85" s="255"/>
      <c r="BP85" s="659"/>
      <c r="BQ85" s="64"/>
      <c r="BR85" s="333"/>
      <c r="BS85" s="333"/>
      <c r="BT85" s="255"/>
    </row>
    <row r="86" spans="8:72" s="324" customFormat="1" ht="12" customHeight="1">
      <c r="H86" s="333"/>
      <c r="I86" s="656"/>
      <c r="J86" s="333"/>
      <c r="L86" s="645"/>
      <c r="O86" s="333"/>
      <c r="R86" s="64"/>
      <c r="S86" s="64"/>
      <c r="T86" s="255"/>
      <c r="U86" s="64"/>
      <c r="Y86" s="255"/>
      <c r="Z86" s="255"/>
      <c r="AA86" s="255"/>
      <c r="AB86" s="255"/>
      <c r="AC86" s="255"/>
      <c r="AD86" s="255"/>
      <c r="AE86" s="255"/>
      <c r="AF86" s="255"/>
      <c r="AK86" s="255"/>
      <c r="AL86" s="255"/>
      <c r="AM86" s="255"/>
      <c r="AN86" s="255"/>
      <c r="AO86" s="255"/>
      <c r="AP86" s="255"/>
      <c r="AQ86" s="255"/>
      <c r="AR86" s="255"/>
      <c r="AS86" s="255"/>
      <c r="AT86" s="255"/>
      <c r="AU86" s="255"/>
      <c r="AV86" s="255"/>
      <c r="AW86" s="255"/>
      <c r="AX86" s="255"/>
      <c r="AY86" s="255"/>
      <c r="AZ86" s="255"/>
      <c r="BA86" s="255"/>
      <c r="BB86" s="255"/>
      <c r="BC86" s="255"/>
      <c r="BD86" s="255"/>
      <c r="BE86" s="255"/>
      <c r="BF86" s="255"/>
      <c r="BG86" s="255"/>
      <c r="BH86" s="255"/>
      <c r="BI86" s="255"/>
      <c r="BJ86" s="255"/>
      <c r="BK86" s="255"/>
      <c r="BL86" s="255"/>
      <c r="BM86" s="255"/>
      <c r="BN86" s="255"/>
      <c r="BO86" s="255"/>
      <c r="BP86" s="659"/>
      <c r="BQ86" s="64"/>
      <c r="BR86" s="333"/>
      <c r="BS86" s="333"/>
      <c r="BT86" s="255"/>
    </row>
    <row r="87" spans="8:72" s="324" customFormat="1" ht="12" customHeight="1">
      <c r="H87" s="333"/>
      <c r="I87" s="656"/>
      <c r="J87" s="333"/>
      <c r="O87" s="333"/>
      <c r="R87" s="64"/>
      <c r="S87" s="64"/>
      <c r="T87" s="64"/>
      <c r="U87" s="64"/>
      <c r="Y87" s="255"/>
      <c r="Z87" s="255"/>
      <c r="AA87" s="255"/>
      <c r="AB87" s="255"/>
      <c r="AC87" s="255"/>
      <c r="AD87" s="255"/>
      <c r="AE87" s="255"/>
      <c r="AF87" s="255"/>
      <c r="AK87" s="255"/>
      <c r="AL87" s="255"/>
      <c r="AM87" s="255"/>
      <c r="AN87" s="255"/>
      <c r="AO87" s="255"/>
      <c r="AP87" s="255"/>
      <c r="AQ87" s="255"/>
      <c r="AR87" s="255"/>
      <c r="AS87" s="255"/>
      <c r="AT87" s="255"/>
      <c r="AU87" s="255"/>
      <c r="AV87" s="255"/>
      <c r="AW87" s="255"/>
      <c r="AX87" s="255"/>
      <c r="AY87" s="255"/>
      <c r="AZ87" s="255"/>
      <c r="BA87" s="255"/>
      <c r="BB87" s="255"/>
      <c r="BC87" s="255"/>
      <c r="BD87" s="255"/>
      <c r="BE87" s="255"/>
      <c r="BF87" s="255"/>
      <c r="BG87" s="255"/>
      <c r="BH87" s="255"/>
      <c r="BI87" s="255"/>
      <c r="BJ87" s="255"/>
      <c r="BK87" s="255"/>
      <c r="BL87" s="255"/>
      <c r="BM87" s="255"/>
      <c r="BN87" s="255"/>
      <c r="BO87" s="255"/>
      <c r="BP87" s="659"/>
      <c r="BQ87" s="64"/>
      <c r="BR87" s="333"/>
      <c r="BS87" s="333"/>
      <c r="BT87" s="255"/>
    </row>
    <row r="88" spans="4:72" s="324" customFormat="1" ht="12" customHeight="1">
      <c r="D88" s="645"/>
      <c r="E88" s="645"/>
      <c r="R88" s="390"/>
      <c r="S88" s="64"/>
      <c r="T88" s="255"/>
      <c r="U88" s="64"/>
      <c r="V88" s="645"/>
      <c r="Y88" s="255"/>
      <c r="Z88" s="255"/>
      <c r="AA88" s="255"/>
      <c r="AB88" s="255"/>
      <c r="AC88" s="255"/>
      <c r="AD88" s="645"/>
      <c r="AE88" s="255"/>
      <c r="AF88" s="255"/>
      <c r="AH88" s="570"/>
      <c r="AK88" s="255"/>
      <c r="AL88" s="255"/>
      <c r="AM88" s="255"/>
      <c r="AN88" s="255"/>
      <c r="AO88" s="255"/>
      <c r="AP88" s="255"/>
      <c r="AQ88" s="255"/>
      <c r="AR88" s="255"/>
      <c r="AS88" s="255"/>
      <c r="AT88" s="255"/>
      <c r="AU88" s="255"/>
      <c r="AV88" s="255"/>
      <c r="AW88" s="255"/>
      <c r="AX88" s="255"/>
      <c r="AY88" s="255"/>
      <c r="AZ88" s="255"/>
      <c r="BA88" s="255"/>
      <c r="BB88" s="255"/>
      <c r="BC88" s="255"/>
      <c r="BD88" s="255"/>
      <c r="BE88" s="255"/>
      <c r="BF88" s="255"/>
      <c r="BG88" s="255"/>
      <c r="BH88" s="255"/>
      <c r="BI88" s="255"/>
      <c r="BJ88" s="255"/>
      <c r="BK88" s="255"/>
      <c r="BL88" s="255"/>
      <c r="BM88" s="255"/>
      <c r="BN88" s="255"/>
      <c r="BO88" s="255"/>
      <c r="BP88" s="659"/>
      <c r="BQ88" s="64"/>
      <c r="BR88" s="333"/>
      <c r="BS88" s="333"/>
      <c r="BT88" s="255"/>
    </row>
    <row r="89" spans="1:72" s="657" customFormat="1" ht="12" customHeight="1">
      <c r="A89" s="660"/>
      <c r="B89" s="660"/>
      <c r="C89" s="645"/>
      <c r="D89" s="645"/>
      <c r="E89" s="658"/>
      <c r="F89" s="645"/>
      <c r="G89" s="645"/>
      <c r="H89" s="658"/>
      <c r="I89" s="645"/>
      <c r="J89" s="645"/>
      <c r="K89" s="734"/>
      <c r="L89" s="645"/>
      <c r="M89" s="645"/>
      <c r="O89" s="645"/>
      <c r="P89" s="734"/>
      <c r="Q89" s="658"/>
      <c r="R89" s="390"/>
      <c r="S89" s="651"/>
      <c r="T89" s="651"/>
      <c r="U89" s="390"/>
      <c r="V89" s="645"/>
      <c r="W89" s="645"/>
      <c r="Y89" s="645"/>
      <c r="Z89" s="651"/>
      <c r="AA89" s="651"/>
      <c r="AB89" s="390"/>
      <c r="AC89" s="645"/>
      <c r="AD89" s="645"/>
      <c r="AE89" s="645"/>
      <c r="AF89" s="645"/>
      <c r="AG89" s="645"/>
      <c r="AH89" s="734"/>
      <c r="AI89" s="734"/>
      <c r="AJ89" s="734"/>
      <c r="AK89" s="390"/>
      <c r="AL89" s="390"/>
      <c r="AM89" s="390"/>
      <c r="AN89" s="390"/>
      <c r="AO89" s="390"/>
      <c r="AP89" s="390"/>
      <c r="AQ89" s="390"/>
      <c r="AR89" s="390"/>
      <c r="AS89" s="390"/>
      <c r="AT89" s="390"/>
      <c r="AU89" s="390"/>
      <c r="AV89" s="390"/>
      <c r="AW89" s="390"/>
      <c r="AX89" s="390"/>
      <c r="AY89" s="390"/>
      <c r="AZ89" s="390"/>
      <c r="BA89" s="390"/>
      <c r="BB89" s="651"/>
      <c r="BC89" s="390"/>
      <c r="BD89" s="390"/>
      <c r="BE89" s="390"/>
      <c r="BF89" s="390"/>
      <c r="BG89" s="390"/>
      <c r="BH89" s="390"/>
      <c r="BI89" s="390"/>
      <c r="BJ89" s="390"/>
      <c r="BK89" s="390"/>
      <c r="BL89" s="390"/>
      <c r="BM89" s="255"/>
      <c r="BN89" s="255"/>
      <c r="BO89" s="255"/>
      <c r="BP89" s="659"/>
      <c r="BQ89" s="390"/>
      <c r="BR89" s="324"/>
      <c r="BS89" s="333"/>
      <c r="BT89" s="255"/>
    </row>
    <row r="90" spans="1:72" s="324" customFormat="1" ht="12" customHeight="1">
      <c r="A90" s="660"/>
      <c r="B90" s="660"/>
      <c r="D90" s="661"/>
      <c r="E90" s="662"/>
      <c r="F90" s="662"/>
      <c r="H90" s="662"/>
      <c r="I90" s="393"/>
      <c r="J90" s="393"/>
      <c r="L90" s="660"/>
      <c r="M90" s="660"/>
      <c r="Q90" s="735"/>
      <c r="R90" s="71"/>
      <c r="S90" s="71"/>
      <c r="T90" s="255"/>
      <c r="U90" s="64"/>
      <c r="Y90" s="255"/>
      <c r="Z90" s="255"/>
      <c r="AA90" s="255"/>
      <c r="AB90" s="255"/>
      <c r="AC90" s="255"/>
      <c r="AD90" s="255"/>
      <c r="AE90" s="255"/>
      <c r="AF90" s="255"/>
      <c r="AK90" s="255"/>
      <c r="AL90" s="255"/>
      <c r="AM90" s="255"/>
      <c r="AN90" s="255"/>
      <c r="AO90" s="255"/>
      <c r="AP90" s="255"/>
      <c r="AQ90" s="255"/>
      <c r="AR90" s="255"/>
      <c r="AS90" s="255"/>
      <c r="AT90" s="255"/>
      <c r="AU90" s="255"/>
      <c r="AV90" s="255"/>
      <c r="AW90" s="255"/>
      <c r="AX90" s="255"/>
      <c r="AY90" s="255"/>
      <c r="AZ90" s="255"/>
      <c r="BA90" s="255"/>
      <c r="BB90" s="255"/>
      <c r="BC90" s="255"/>
      <c r="BD90" s="255"/>
      <c r="BE90" s="255"/>
      <c r="BF90" s="255"/>
      <c r="BG90" s="255"/>
      <c r="BH90" s="255"/>
      <c r="BI90" s="255"/>
      <c r="BJ90" s="255"/>
      <c r="BK90" s="255"/>
      <c r="BL90" s="255"/>
      <c r="BM90" s="255"/>
      <c r="BN90" s="255"/>
      <c r="BO90" s="255"/>
      <c r="BP90" s="255"/>
      <c r="BQ90" s="255"/>
      <c r="BT90" s="255"/>
    </row>
    <row r="91" spans="18:72" s="324" customFormat="1" ht="12" customHeight="1">
      <c r="R91" s="64"/>
      <c r="S91" s="64"/>
      <c r="T91" s="255"/>
      <c r="U91" s="64"/>
      <c r="Y91" s="255"/>
      <c r="Z91" s="255"/>
      <c r="AA91" s="255"/>
      <c r="AB91" s="255"/>
      <c r="AC91" s="770"/>
      <c r="AD91" s="255"/>
      <c r="AE91" s="255"/>
      <c r="AF91" s="255"/>
      <c r="AK91" s="255"/>
      <c r="AL91" s="255"/>
      <c r="AM91" s="255"/>
      <c r="AN91" s="255"/>
      <c r="AO91" s="255"/>
      <c r="AP91" s="255"/>
      <c r="AQ91" s="255"/>
      <c r="AR91" s="255"/>
      <c r="AS91" s="255"/>
      <c r="AT91" s="255"/>
      <c r="AU91" s="255"/>
      <c r="AV91" s="255"/>
      <c r="AW91" s="255"/>
      <c r="AX91" s="255"/>
      <c r="AY91" s="255"/>
      <c r="AZ91" s="255"/>
      <c r="BA91" s="255"/>
      <c r="BB91" s="255"/>
      <c r="BC91" s="255"/>
      <c r="BD91" s="255"/>
      <c r="BE91" s="255"/>
      <c r="BF91" s="255"/>
      <c r="BG91" s="255"/>
      <c r="BH91" s="255"/>
      <c r="BI91" s="255"/>
      <c r="BJ91" s="255"/>
      <c r="BK91" s="255"/>
      <c r="BL91" s="255"/>
      <c r="BM91" s="255"/>
      <c r="BN91" s="255"/>
      <c r="BO91" s="255"/>
      <c r="BP91" s="255"/>
      <c r="BQ91" s="255"/>
      <c r="BT91" s="255"/>
    </row>
    <row r="92" spans="18:69" s="324" customFormat="1" ht="12" customHeight="1">
      <c r="R92" s="64"/>
      <c r="S92" s="64"/>
      <c r="T92" s="64"/>
      <c r="U92" s="64"/>
      <c r="Y92" s="255"/>
      <c r="Z92" s="255"/>
      <c r="AA92" s="255"/>
      <c r="AB92" s="255"/>
      <c r="AC92" s="770"/>
      <c r="AD92" s="770"/>
      <c r="AE92" s="255"/>
      <c r="AF92" s="255"/>
      <c r="AK92" s="255"/>
      <c r="AL92" s="255"/>
      <c r="AM92" s="255"/>
      <c r="AN92" s="255"/>
      <c r="AO92" s="255"/>
      <c r="AP92" s="255"/>
      <c r="AQ92" s="255"/>
      <c r="AR92" s="255"/>
      <c r="AS92" s="255"/>
      <c r="AT92" s="255"/>
      <c r="AU92" s="255"/>
      <c r="AV92" s="255"/>
      <c r="AW92" s="255"/>
      <c r="AX92" s="255"/>
      <c r="AY92" s="255"/>
      <c r="AZ92" s="255"/>
      <c r="BA92" s="255"/>
      <c r="BB92" s="255"/>
      <c r="BC92" s="255"/>
      <c r="BD92" s="255"/>
      <c r="BE92" s="255"/>
      <c r="BF92" s="255"/>
      <c r="BG92" s="255"/>
      <c r="BH92" s="255"/>
      <c r="BI92" s="255"/>
      <c r="BJ92" s="255"/>
      <c r="BK92" s="255"/>
      <c r="BL92" s="255"/>
      <c r="BM92" s="255"/>
      <c r="BN92" s="255"/>
      <c r="BO92" s="255"/>
      <c r="BP92" s="255"/>
      <c r="BQ92" s="255"/>
    </row>
    <row r="93" spans="18:69" s="324" customFormat="1" ht="12" customHeight="1">
      <c r="R93" s="64"/>
      <c r="S93" s="64"/>
      <c r="T93" s="64"/>
      <c r="U93" s="64"/>
      <c r="Y93" s="255"/>
      <c r="Z93" s="255"/>
      <c r="AA93" s="255"/>
      <c r="AB93" s="255"/>
      <c r="AC93" s="770"/>
      <c r="AD93" s="770"/>
      <c r="AE93" s="255"/>
      <c r="AF93" s="255"/>
      <c r="AK93" s="255"/>
      <c r="AL93" s="255"/>
      <c r="AM93" s="255"/>
      <c r="AN93" s="255"/>
      <c r="AO93" s="255"/>
      <c r="AP93" s="255"/>
      <c r="AQ93" s="255"/>
      <c r="AR93" s="255"/>
      <c r="AS93" s="255"/>
      <c r="AT93" s="255"/>
      <c r="AU93" s="255"/>
      <c r="AV93" s="255"/>
      <c r="AW93" s="255"/>
      <c r="AX93" s="255"/>
      <c r="AY93" s="255"/>
      <c r="AZ93" s="255"/>
      <c r="BA93" s="255"/>
      <c r="BB93" s="255"/>
      <c r="BC93" s="255"/>
      <c r="BD93" s="255"/>
      <c r="BE93" s="255"/>
      <c r="BF93" s="255"/>
      <c r="BG93" s="255"/>
      <c r="BH93" s="255"/>
      <c r="BI93" s="255"/>
      <c r="BJ93" s="255"/>
      <c r="BK93" s="255"/>
      <c r="BL93" s="255"/>
      <c r="BM93" s="255"/>
      <c r="BN93" s="255"/>
      <c r="BO93" s="255"/>
      <c r="BP93" s="255"/>
      <c r="BQ93" s="255"/>
    </row>
    <row r="94" spans="7:69" s="324" customFormat="1" ht="12" customHeight="1">
      <c r="G94" s="333"/>
      <c r="H94" s="671"/>
      <c r="I94" s="671"/>
      <c r="J94" s="671"/>
      <c r="K94" s="671"/>
      <c r="R94" s="64"/>
      <c r="S94" s="64"/>
      <c r="T94" s="64"/>
      <c r="U94" s="64"/>
      <c r="Y94" s="255"/>
      <c r="Z94" s="255"/>
      <c r="AA94" s="255"/>
      <c r="AB94" s="255"/>
      <c r="AC94" s="770"/>
      <c r="AD94" s="770"/>
      <c r="AE94" s="255"/>
      <c r="AF94" s="255"/>
      <c r="AK94" s="255"/>
      <c r="AL94" s="255"/>
      <c r="AM94" s="255"/>
      <c r="AN94" s="255"/>
      <c r="AO94" s="255"/>
      <c r="AP94" s="255"/>
      <c r="AQ94" s="255"/>
      <c r="AR94" s="255"/>
      <c r="AS94" s="255"/>
      <c r="AT94" s="255"/>
      <c r="AU94" s="255"/>
      <c r="AV94" s="255"/>
      <c r="AW94" s="255"/>
      <c r="AX94" s="255"/>
      <c r="AY94" s="255"/>
      <c r="AZ94" s="255"/>
      <c r="BA94" s="255"/>
      <c r="BB94" s="255"/>
      <c r="BC94" s="255"/>
      <c r="BD94" s="255"/>
      <c r="BE94" s="255"/>
      <c r="BF94" s="255"/>
      <c r="BG94" s="255"/>
      <c r="BH94" s="255"/>
      <c r="BI94" s="255"/>
      <c r="BJ94" s="255"/>
      <c r="BK94" s="255"/>
      <c r="BL94" s="255"/>
      <c r="BM94" s="255"/>
      <c r="BN94" s="255"/>
      <c r="BO94" s="255"/>
      <c r="BP94" s="255"/>
      <c r="BQ94" s="255"/>
    </row>
    <row r="95" spans="8:69" s="324" customFormat="1" ht="12" customHeight="1">
      <c r="H95" s="671"/>
      <c r="I95" s="671"/>
      <c r="J95" s="671"/>
      <c r="K95" s="671"/>
      <c r="R95" s="64"/>
      <c r="S95" s="64"/>
      <c r="T95" s="255"/>
      <c r="U95" s="64"/>
      <c r="Y95" s="255"/>
      <c r="Z95" s="255"/>
      <c r="AA95" s="255"/>
      <c r="AB95" s="255"/>
      <c r="AC95" s="770"/>
      <c r="AD95" s="770"/>
      <c r="AE95" s="255"/>
      <c r="AF95" s="255"/>
      <c r="AK95" s="255"/>
      <c r="AL95" s="255"/>
      <c r="AM95" s="255"/>
      <c r="AN95" s="255"/>
      <c r="AO95" s="255"/>
      <c r="AP95" s="255"/>
      <c r="AQ95" s="255"/>
      <c r="AR95" s="255"/>
      <c r="AS95" s="255"/>
      <c r="AT95" s="255"/>
      <c r="AU95" s="255"/>
      <c r="AV95" s="255"/>
      <c r="AW95" s="255"/>
      <c r="AX95" s="255"/>
      <c r="AY95" s="255"/>
      <c r="AZ95" s="255"/>
      <c r="BA95" s="255"/>
      <c r="BB95" s="255"/>
      <c r="BC95" s="255"/>
      <c r="BD95" s="255"/>
      <c r="BE95" s="255"/>
      <c r="BF95" s="255"/>
      <c r="BG95" s="255"/>
      <c r="BH95" s="255"/>
      <c r="BI95" s="255"/>
      <c r="BJ95" s="255"/>
      <c r="BK95" s="255"/>
      <c r="BL95" s="255"/>
      <c r="BM95" s="255"/>
      <c r="BN95" s="255"/>
      <c r="BO95" s="255"/>
      <c r="BP95" s="255"/>
      <c r="BQ95" s="255"/>
    </row>
    <row r="96" spans="8:69" s="324" customFormat="1" ht="12" customHeight="1">
      <c r="H96" s="671"/>
      <c r="I96" s="671"/>
      <c r="J96" s="671"/>
      <c r="K96" s="671"/>
      <c r="R96" s="64"/>
      <c r="S96" s="64"/>
      <c r="T96" s="64"/>
      <c r="U96" s="64"/>
      <c r="Y96" s="255"/>
      <c r="Z96" s="255"/>
      <c r="AA96" s="255"/>
      <c r="AB96" s="255"/>
      <c r="AC96" s="255"/>
      <c r="AD96" s="255"/>
      <c r="AE96" s="255"/>
      <c r="AF96" s="255"/>
      <c r="AI96" s="656"/>
      <c r="AK96" s="255"/>
      <c r="AL96" s="255"/>
      <c r="AM96" s="255"/>
      <c r="AN96" s="255"/>
      <c r="AO96" s="255"/>
      <c r="AP96" s="255"/>
      <c r="AQ96" s="255"/>
      <c r="AR96" s="255"/>
      <c r="AS96" s="255"/>
      <c r="AT96" s="255"/>
      <c r="AU96" s="255"/>
      <c r="AV96" s="255"/>
      <c r="AW96" s="255"/>
      <c r="AX96" s="255"/>
      <c r="AY96" s="255"/>
      <c r="AZ96" s="255"/>
      <c r="BA96" s="255"/>
      <c r="BB96" s="255"/>
      <c r="BC96" s="255"/>
      <c r="BD96" s="255"/>
      <c r="BE96" s="255"/>
      <c r="BF96" s="255"/>
      <c r="BG96" s="255"/>
      <c r="BH96" s="255"/>
      <c r="BI96" s="255"/>
      <c r="BJ96" s="255"/>
      <c r="BK96" s="255"/>
      <c r="BL96" s="255"/>
      <c r="BM96" s="255"/>
      <c r="BN96" s="255"/>
      <c r="BO96" s="255"/>
      <c r="BP96" s="255"/>
      <c r="BQ96" s="255"/>
    </row>
    <row r="97" spans="18:72" s="324" customFormat="1" ht="12" customHeight="1">
      <c r="R97" s="64"/>
      <c r="S97" s="64"/>
      <c r="T97" s="651"/>
      <c r="U97" s="64"/>
      <c r="V97" s="570"/>
      <c r="W97" s="570"/>
      <c r="X97" s="570"/>
      <c r="Y97" s="255"/>
      <c r="Z97" s="255"/>
      <c r="AA97" s="255"/>
      <c r="AB97" s="255"/>
      <c r="AC97" s="255"/>
      <c r="AD97" s="255"/>
      <c r="AE97" s="255"/>
      <c r="AF97" s="255"/>
      <c r="AG97" s="570"/>
      <c r="AH97" s="570"/>
      <c r="AI97" s="570"/>
      <c r="AJ97" s="570"/>
      <c r="AK97" s="391"/>
      <c r="AL97" s="391"/>
      <c r="AM97" s="391"/>
      <c r="AN97" s="391"/>
      <c r="AO97" s="391"/>
      <c r="AP97" s="391"/>
      <c r="AQ97" s="391"/>
      <c r="AR97" s="391"/>
      <c r="AS97" s="391"/>
      <c r="AT97" s="391"/>
      <c r="AU97" s="391"/>
      <c r="AV97" s="391"/>
      <c r="AW97" s="391"/>
      <c r="AX97" s="391"/>
      <c r="AY97" s="391"/>
      <c r="AZ97" s="391"/>
      <c r="BA97" s="391"/>
      <c r="BB97" s="391"/>
      <c r="BC97" s="391"/>
      <c r="BD97" s="391"/>
      <c r="BE97" s="391"/>
      <c r="BF97" s="391"/>
      <c r="BG97" s="391"/>
      <c r="BH97" s="391"/>
      <c r="BI97" s="391"/>
      <c r="BJ97" s="391"/>
      <c r="BK97" s="391"/>
      <c r="BL97" s="391"/>
      <c r="BM97" s="391"/>
      <c r="BN97" s="391"/>
      <c r="BO97" s="391"/>
      <c r="BP97" s="569"/>
      <c r="BQ97" s="391"/>
      <c r="BR97" s="570"/>
      <c r="BS97" s="570"/>
      <c r="BT97" s="570"/>
    </row>
    <row r="98" spans="18:72" s="324" customFormat="1" ht="12" customHeight="1">
      <c r="R98" s="64"/>
      <c r="S98" s="64"/>
      <c r="T98" s="255"/>
      <c r="U98" s="64"/>
      <c r="V98" s="570"/>
      <c r="W98" s="570"/>
      <c r="X98" s="570"/>
      <c r="Y98" s="255"/>
      <c r="Z98" s="255"/>
      <c r="AA98" s="255"/>
      <c r="AB98" s="255"/>
      <c r="AC98" s="255"/>
      <c r="AD98" s="255"/>
      <c r="AE98" s="569"/>
      <c r="AF98" s="391"/>
      <c r="AG98" s="570"/>
      <c r="AH98" s="391"/>
      <c r="AI98" s="391"/>
      <c r="AJ98" s="391"/>
      <c r="AK98" s="391"/>
      <c r="AL98" s="391"/>
      <c r="AM98" s="391"/>
      <c r="AN98" s="391"/>
      <c r="AO98" s="792"/>
      <c r="AP98" s="595"/>
      <c r="AQ98" s="391"/>
      <c r="AR98" s="570"/>
      <c r="AS98" s="570"/>
      <c r="AT98" s="391"/>
      <c r="AU98" s="391"/>
      <c r="AV98" s="391"/>
      <c r="AW98" s="569"/>
      <c r="AX98" s="391"/>
      <c r="AY98" s="391"/>
      <c r="AZ98" s="391"/>
      <c r="BA98" s="391"/>
      <c r="BB98" s="391"/>
      <c r="BC98" s="391"/>
      <c r="BD98" s="391"/>
      <c r="BE98" s="391"/>
      <c r="BF98" s="391"/>
      <c r="BG98" s="391"/>
      <c r="BH98" s="391"/>
      <c r="BI98" s="391"/>
      <c r="BJ98" s="391"/>
      <c r="BK98" s="391"/>
      <c r="BL98" s="391"/>
      <c r="BM98" s="391"/>
      <c r="BN98" s="391"/>
      <c r="BO98" s="391"/>
      <c r="BP98" s="391"/>
      <c r="BQ98" s="391"/>
      <c r="BR98" s="570"/>
      <c r="BS98" s="570"/>
      <c r="BT98" s="570"/>
    </row>
    <row r="99" spans="18:72" s="324" customFormat="1" ht="12" customHeight="1">
      <c r="R99" s="64"/>
      <c r="S99" s="64"/>
      <c r="T99" s="255"/>
      <c r="U99" s="255"/>
      <c r="V99" s="570"/>
      <c r="W99" s="570"/>
      <c r="X99" s="570"/>
      <c r="Y99" s="255"/>
      <c r="Z99" s="255"/>
      <c r="AA99" s="255"/>
      <c r="AB99" s="255"/>
      <c r="AC99" s="255"/>
      <c r="AD99" s="255"/>
      <c r="AE99" s="391"/>
      <c r="AF99" s="391"/>
      <c r="AG99" s="570"/>
      <c r="AH99" s="391"/>
      <c r="AI99" s="391"/>
      <c r="AJ99" s="391"/>
      <c r="AK99" s="391"/>
      <c r="AL99" s="391"/>
      <c r="AM99" s="391"/>
      <c r="AN99" s="391"/>
      <c r="AO99" s="792"/>
      <c r="AP99" s="391"/>
      <c r="AQ99" s="391"/>
      <c r="AR99" s="391"/>
      <c r="AS99" s="391"/>
      <c r="AT99" s="391"/>
      <c r="AU99" s="391"/>
      <c r="AV99" s="391"/>
      <c r="AW99" s="391"/>
      <c r="AX99" s="391"/>
      <c r="AY99" s="391"/>
      <c r="AZ99" s="792"/>
      <c r="BA99" s="569"/>
      <c r="BB99" s="391"/>
      <c r="BC99" s="391"/>
      <c r="BD99" s="391"/>
      <c r="BE99" s="391"/>
      <c r="BF99" s="391"/>
      <c r="BG99" s="391"/>
      <c r="BH99" s="391"/>
      <c r="BI99" s="391"/>
      <c r="BJ99" s="391"/>
      <c r="BK99" s="391"/>
      <c r="BL99" s="391"/>
      <c r="BM99" s="391"/>
      <c r="BN99" s="391"/>
      <c r="BO99" s="391"/>
      <c r="BP99" s="391"/>
      <c r="BQ99" s="391"/>
      <c r="BR99" s="391"/>
      <c r="BS99" s="391"/>
      <c r="BT99" s="570"/>
    </row>
    <row r="100" spans="4:72" s="324" customFormat="1" ht="12" customHeight="1">
      <c r="D100" s="333"/>
      <c r="F100" s="255"/>
      <c r="G100" s="255"/>
      <c r="H100" s="255"/>
      <c r="I100" s="255"/>
      <c r="J100" s="255"/>
      <c r="K100" s="255"/>
      <c r="R100" s="64"/>
      <c r="S100" s="570"/>
      <c r="T100" s="255"/>
      <c r="U100" s="64"/>
      <c r="V100" s="570"/>
      <c r="W100" s="736"/>
      <c r="X100" s="736"/>
      <c r="Y100" s="736"/>
      <c r="Z100" s="736"/>
      <c r="AA100" s="255"/>
      <c r="AB100" s="255"/>
      <c r="AC100" s="255"/>
      <c r="AD100" s="255"/>
      <c r="AE100" s="391"/>
      <c r="AF100" s="391"/>
      <c r="AG100" s="570"/>
      <c r="AH100" s="568"/>
      <c r="AI100" s="585"/>
      <c r="AJ100" s="585"/>
      <c r="AK100" s="585"/>
      <c r="AL100" s="585"/>
      <c r="AM100" s="391"/>
      <c r="AN100" s="391"/>
      <c r="AO100" s="391"/>
      <c r="AP100" s="391"/>
      <c r="AQ100" s="391"/>
      <c r="AR100" s="391"/>
      <c r="AS100" s="391"/>
      <c r="AT100" s="391"/>
      <c r="AU100" s="391"/>
      <c r="AV100" s="391"/>
      <c r="AW100" s="391"/>
      <c r="AX100" s="391"/>
      <c r="AY100" s="391"/>
      <c r="AZ100" s="792"/>
      <c r="BA100" s="391"/>
      <c r="BB100" s="391"/>
      <c r="BC100" s="391"/>
      <c r="BD100" s="391"/>
      <c r="BE100" s="391"/>
      <c r="BF100" s="391"/>
      <c r="BG100" s="391"/>
      <c r="BH100" s="568"/>
      <c r="BI100" s="585"/>
      <c r="BJ100" s="585"/>
      <c r="BK100" s="585"/>
      <c r="BL100" s="585"/>
      <c r="BM100" s="391"/>
      <c r="BN100" s="391"/>
      <c r="BO100" s="391"/>
      <c r="BP100" s="391"/>
      <c r="BQ100" s="391"/>
      <c r="BR100" s="391"/>
      <c r="BS100" s="391"/>
      <c r="BT100" s="570"/>
    </row>
    <row r="101" spans="6:72" s="324" customFormat="1" ht="12" customHeight="1">
      <c r="F101" s="255"/>
      <c r="G101" s="255"/>
      <c r="H101" s="255"/>
      <c r="I101" s="255"/>
      <c r="J101" s="255"/>
      <c r="K101" s="255"/>
      <c r="R101" s="64"/>
      <c r="S101" s="570"/>
      <c r="T101" s="255"/>
      <c r="U101" s="64"/>
      <c r="V101" s="570"/>
      <c r="W101" s="570"/>
      <c r="X101" s="570"/>
      <c r="Y101" s="570"/>
      <c r="Z101" s="570"/>
      <c r="AA101" s="391"/>
      <c r="AB101" s="391"/>
      <c r="AC101" s="391"/>
      <c r="AD101" s="391"/>
      <c r="AE101" s="391"/>
      <c r="AF101" s="391"/>
      <c r="AG101" s="570"/>
      <c r="AH101" s="568"/>
      <c r="AI101" s="391"/>
      <c r="AJ101" s="391"/>
      <c r="AK101" s="391"/>
      <c r="AL101" s="391"/>
      <c r="AM101" s="391"/>
      <c r="AN101" s="585"/>
      <c r="AO101" s="391"/>
      <c r="AP101" s="391"/>
      <c r="AQ101" s="391"/>
      <c r="AR101" s="391"/>
      <c r="AS101" s="391"/>
      <c r="AT101" s="391"/>
      <c r="AU101" s="391"/>
      <c r="AV101" s="391"/>
      <c r="AW101" s="391"/>
      <c r="AX101" s="391"/>
      <c r="AY101" s="391"/>
      <c r="AZ101" s="585"/>
      <c r="BA101" s="391"/>
      <c r="BB101" s="391"/>
      <c r="BC101" s="585"/>
      <c r="BD101" s="585"/>
      <c r="BE101" s="391"/>
      <c r="BF101" s="391"/>
      <c r="BG101" s="391"/>
      <c r="BH101" s="568"/>
      <c r="BI101" s="391"/>
      <c r="BJ101" s="391"/>
      <c r="BK101" s="391"/>
      <c r="BL101" s="391"/>
      <c r="BM101" s="391"/>
      <c r="BN101" s="585"/>
      <c r="BO101" s="391"/>
      <c r="BP101" s="391"/>
      <c r="BQ101" s="391"/>
      <c r="BR101" s="391"/>
      <c r="BS101" s="391"/>
      <c r="BT101" s="570"/>
    </row>
    <row r="102" spans="6:72" s="324" customFormat="1" ht="12" customHeight="1">
      <c r="F102" s="255"/>
      <c r="G102" s="255"/>
      <c r="H102" s="255"/>
      <c r="I102" s="255"/>
      <c r="J102" s="255"/>
      <c r="K102" s="255"/>
      <c r="R102" s="64"/>
      <c r="S102" s="570"/>
      <c r="T102" s="333"/>
      <c r="U102" s="656"/>
      <c r="V102" s="570"/>
      <c r="W102" s="570"/>
      <c r="X102" s="570"/>
      <c r="Y102" s="570"/>
      <c r="Z102" s="570"/>
      <c r="AA102" s="391"/>
      <c r="AB102" s="391"/>
      <c r="AC102" s="391"/>
      <c r="AD102" s="391"/>
      <c r="AE102" s="391"/>
      <c r="AF102" s="391"/>
      <c r="AG102" s="570"/>
      <c r="AH102" s="568"/>
      <c r="AI102" s="391"/>
      <c r="AJ102" s="391"/>
      <c r="AK102" s="391"/>
      <c r="AL102" s="391"/>
      <c r="AM102" s="391"/>
      <c r="AN102" s="585"/>
      <c r="AO102" s="391"/>
      <c r="AP102" s="391"/>
      <c r="AQ102" s="391"/>
      <c r="AR102" s="391"/>
      <c r="AS102" s="391"/>
      <c r="AT102" s="391"/>
      <c r="AU102" s="391"/>
      <c r="AV102" s="391"/>
      <c r="AW102" s="391"/>
      <c r="AX102" s="391"/>
      <c r="AY102" s="391"/>
      <c r="AZ102" s="585"/>
      <c r="BA102" s="391"/>
      <c r="BB102" s="585"/>
      <c r="BC102" s="585"/>
      <c r="BD102" s="585"/>
      <c r="BE102" s="391"/>
      <c r="BF102" s="391"/>
      <c r="BG102" s="391"/>
      <c r="BH102" s="568"/>
      <c r="BI102" s="391"/>
      <c r="BJ102" s="391"/>
      <c r="BK102" s="391"/>
      <c r="BL102" s="391"/>
      <c r="BM102" s="391"/>
      <c r="BN102" s="585"/>
      <c r="BO102" s="391"/>
      <c r="BP102" s="391"/>
      <c r="BQ102" s="391"/>
      <c r="BR102" s="391"/>
      <c r="BS102" s="391"/>
      <c r="BT102" s="570"/>
    </row>
    <row r="103" spans="6:72" s="324" customFormat="1" ht="12" customHeight="1">
      <c r="F103" s="255"/>
      <c r="G103" s="255"/>
      <c r="H103" s="255"/>
      <c r="I103" s="255"/>
      <c r="J103" s="255"/>
      <c r="K103" s="255"/>
      <c r="R103" s="64"/>
      <c r="S103" s="570"/>
      <c r="T103" s="64"/>
      <c r="U103" s="64"/>
      <c r="V103" s="570"/>
      <c r="W103" s="570"/>
      <c r="X103" s="570"/>
      <c r="Y103" s="570"/>
      <c r="Z103" s="570"/>
      <c r="AA103" s="391"/>
      <c r="AB103" s="391"/>
      <c r="AC103" s="391"/>
      <c r="AD103" s="391"/>
      <c r="AE103" s="391"/>
      <c r="AF103" s="391"/>
      <c r="AG103" s="570"/>
      <c r="AH103" s="568"/>
      <c r="AI103" s="391"/>
      <c r="AJ103" s="391"/>
      <c r="AK103" s="391"/>
      <c r="AL103" s="391"/>
      <c r="AM103" s="391"/>
      <c r="AN103" s="585"/>
      <c r="AO103" s="391"/>
      <c r="AP103" s="391"/>
      <c r="AQ103" s="391"/>
      <c r="AR103" s="391"/>
      <c r="AS103" s="391"/>
      <c r="AT103" s="391"/>
      <c r="AU103" s="391"/>
      <c r="AV103" s="391"/>
      <c r="AW103" s="391"/>
      <c r="AX103" s="391"/>
      <c r="AY103" s="391"/>
      <c r="AZ103" s="585"/>
      <c r="BA103" s="391"/>
      <c r="BB103" s="585"/>
      <c r="BC103" s="585"/>
      <c r="BD103" s="391"/>
      <c r="BE103" s="391"/>
      <c r="BF103" s="391"/>
      <c r="BG103" s="391"/>
      <c r="BH103" s="568"/>
      <c r="BI103" s="391"/>
      <c r="BJ103" s="391"/>
      <c r="BK103" s="391"/>
      <c r="BL103" s="391"/>
      <c r="BM103" s="391"/>
      <c r="BN103" s="585"/>
      <c r="BO103" s="391"/>
      <c r="BP103" s="391"/>
      <c r="BQ103" s="391"/>
      <c r="BR103" s="391"/>
      <c r="BS103" s="391"/>
      <c r="BT103" s="570"/>
    </row>
    <row r="104" spans="6:72" s="324" customFormat="1" ht="12" customHeight="1">
      <c r="F104" s="255"/>
      <c r="G104" s="255"/>
      <c r="H104" s="255"/>
      <c r="I104" s="255"/>
      <c r="J104" s="255"/>
      <c r="K104" s="255"/>
      <c r="R104" s="64"/>
      <c r="S104" s="570"/>
      <c r="T104" s="64"/>
      <c r="U104" s="64"/>
      <c r="V104" s="570"/>
      <c r="W104" s="570"/>
      <c r="X104" s="570"/>
      <c r="Y104" s="255"/>
      <c r="Z104" s="255"/>
      <c r="AA104" s="255"/>
      <c r="AB104" s="255"/>
      <c r="AC104" s="255"/>
      <c r="AD104" s="255"/>
      <c r="AE104" s="391"/>
      <c r="AF104" s="391"/>
      <c r="AG104" s="570"/>
      <c r="AH104" s="568"/>
      <c r="AI104" s="391"/>
      <c r="AJ104" s="391"/>
      <c r="AK104" s="391"/>
      <c r="AL104" s="391"/>
      <c r="AM104" s="391"/>
      <c r="AN104" s="585"/>
      <c r="AO104" s="391"/>
      <c r="AP104" s="391"/>
      <c r="AQ104" s="391"/>
      <c r="AR104" s="391"/>
      <c r="AS104" s="391"/>
      <c r="AT104" s="391"/>
      <c r="AU104" s="391"/>
      <c r="AV104" s="391"/>
      <c r="AW104" s="391"/>
      <c r="AX104" s="391"/>
      <c r="AY104" s="391"/>
      <c r="AZ104" s="391"/>
      <c r="BA104" s="391"/>
      <c r="BB104" s="391"/>
      <c r="BC104" s="391"/>
      <c r="BD104" s="391"/>
      <c r="BE104" s="391"/>
      <c r="BF104" s="391"/>
      <c r="BG104" s="391"/>
      <c r="BH104" s="568"/>
      <c r="BI104" s="391"/>
      <c r="BJ104" s="391"/>
      <c r="BK104" s="391"/>
      <c r="BL104" s="391"/>
      <c r="BM104" s="391"/>
      <c r="BN104" s="391"/>
      <c r="BO104" s="391"/>
      <c r="BP104" s="391"/>
      <c r="BQ104" s="391"/>
      <c r="BR104" s="391"/>
      <c r="BS104" s="391"/>
      <c r="BT104" s="570"/>
    </row>
    <row r="105" spans="18:72" s="324" customFormat="1" ht="12" customHeight="1">
      <c r="R105" s="64"/>
      <c r="S105" s="570"/>
      <c r="T105" s="64"/>
      <c r="U105" s="64"/>
      <c r="V105" s="570"/>
      <c r="W105" s="736"/>
      <c r="X105" s="736"/>
      <c r="Y105" s="736"/>
      <c r="Z105" s="736"/>
      <c r="AA105" s="255"/>
      <c r="AB105" s="255"/>
      <c r="AC105" s="255"/>
      <c r="AD105" s="255"/>
      <c r="AE105" s="391"/>
      <c r="AF105" s="391"/>
      <c r="AG105" s="570"/>
      <c r="AH105" s="568"/>
      <c r="AI105" s="585"/>
      <c r="AJ105" s="585"/>
      <c r="AK105" s="585"/>
      <c r="AL105" s="585"/>
      <c r="AM105" s="391"/>
      <c r="AN105" s="585"/>
      <c r="AO105" s="391"/>
      <c r="AP105" s="391"/>
      <c r="AQ105" s="391"/>
      <c r="AR105" s="391"/>
      <c r="AS105" s="391"/>
      <c r="AT105" s="391"/>
      <c r="AU105" s="391"/>
      <c r="AV105" s="391"/>
      <c r="AW105" s="391"/>
      <c r="AX105" s="391"/>
      <c r="AY105" s="391"/>
      <c r="AZ105" s="391"/>
      <c r="BA105" s="391"/>
      <c r="BB105" s="391"/>
      <c r="BC105" s="391"/>
      <c r="BD105" s="391"/>
      <c r="BE105" s="391"/>
      <c r="BF105" s="391"/>
      <c r="BG105" s="391"/>
      <c r="BH105" s="568"/>
      <c r="BI105" s="585"/>
      <c r="BJ105" s="585"/>
      <c r="BK105" s="585"/>
      <c r="BL105" s="585"/>
      <c r="BM105" s="391"/>
      <c r="BN105" s="391"/>
      <c r="BO105" s="391"/>
      <c r="BP105" s="391"/>
      <c r="BQ105" s="391"/>
      <c r="BR105" s="391"/>
      <c r="BS105" s="391"/>
      <c r="BT105" s="393"/>
    </row>
    <row r="106" spans="18:72" s="324" customFormat="1" ht="12" customHeight="1">
      <c r="R106" s="64"/>
      <c r="S106" s="570"/>
      <c r="T106" s="255"/>
      <c r="U106" s="64"/>
      <c r="V106" s="570"/>
      <c r="W106" s="736"/>
      <c r="X106" s="736"/>
      <c r="Y106" s="736"/>
      <c r="Z106" s="736"/>
      <c r="AA106" s="255"/>
      <c r="AB106" s="255"/>
      <c r="AC106" s="255"/>
      <c r="AD106" s="255"/>
      <c r="AE106" s="391"/>
      <c r="AF106" s="391"/>
      <c r="AG106" s="570"/>
      <c r="AH106" s="568"/>
      <c r="AI106" s="585"/>
      <c r="AJ106" s="585"/>
      <c r="AK106" s="585"/>
      <c r="AL106" s="585"/>
      <c r="AM106" s="391"/>
      <c r="AN106" s="585"/>
      <c r="AO106" s="391"/>
      <c r="AP106" s="391"/>
      <c r="AQ106" s="391"/>
      <c r="AR106" s="391"/>
      <c r="AS106" s="391"/>
      <c r="AT106" s="391"/>
      <c r="AU106" s="391"/>
      <c r="AV106" s="391"/>
      <c r="AW106" s="391"/>
      <c r="AX106" s="391"/>
      <c r="AY106" s="391"/>
      <c r="AZ106" s="391"/>
      <c r="BA106" s="391"/>
      <c r="BB106" s="391"/>
      <c r="BC106" s="391"/>
      <c r="BD106" s="391"/>
      <c r="BE106" s="391"/>
      <c r="BF106" s="391"/>
      <c r="BG106" s="391"/>
      <c r="BH106" s="568"/>
      <c r="BI106" s="585"/>
      <c r="BJ106" s="585"/>
      <c r="BK106" s="585"/>
      <c r="BL106" s="585"/>
      <c r="BM106" s="391"/>
      <c r="BN106" s="391"/>
      <c r="BO106" s="391"/>
      <c r="BP106" s="391"/>
      <c r="BQ106" s="391"/>
      <c r="BR106" s="391"/>
      <c r="BS106" s="391"/>
      <c r="BT106" s="393"/>
    </row>
    <row r="107" spans="18:72" s="324" customFormat="1" ht="12" customHeight="1">
      <c r="R107" s="64"/>
      <c r="S107" s="570"/>
      <c r="T107" s="64"/>
      <c r="U107" s="64"/>
      <c r="V107" s="570"/>
      <c r="W107" s="736"/>
      <c r="X107" s="736"/>
      <c r="Y107" s="736"/>
      <c r="Z107" s="736"/>
      <c r="AA107" s="255"/>
      <c r="AB107" s="255"/>
      <c r="AC107" s="255"/>
      <c r="AD107" s="255"/>
      <c r="AE107" s="391"/>
      <c r="AF107" s="391"/>
      <c r="AG107" s="570"/>
      <c r="AH107" s="568"/>
      <c r="AI107" s="585"/>
      <c r="AJ107" s="585"/>
      <c r="AK107" s="585"/>
      <c r="AL107" s="585"/>
      <c r="AM107" s="391"/>
      <c r="AN107" s="585"/>
      <c r="AO107" s="391"/>
      <c r="AP107" s="391"/>
      <c r="AQ107" s="391"/>
      <c r="AR107" s="391"/>
      <c r="AS107" s="391"/>
      <c r="AT107" s="391"/>
      <c r="AU107" s="391"/>
      <c r="AV107" s="391"/>
      <c r="AW107" s="391"/>
      <c r="AX107" s="391"/>
      <c r="AY107" s="391"/>
      <c r="AZ107" s="391"/>
      <c r="BA107" s="391"/>
      <c r="BB107" s="391"/>
      <c r="BC107" s="391"/>
      <c r="BD107" s="391"/>
      <c r="BE107" s="391"/>
      <c r="BF107" s="391"/>
      <c r="BG107" s="391"/>
      <c r="BH107" s="568"/>
      <c r="BI107" s="585"/>
      <c r="BJ107" s="585"/>
      <c r="BK107" s="585"/>
      <c r="BL107" s="585"/>
      <c r="BM107" s="391"/>
      <c r="BN107" s="391"/>
      <c r="BO107" s="391"/>
      <c r="BP107" s="391"/>
      <c r="BQ107" s="391"/>
      <c r="BR107" s="391"/>
      <c r="BS107" s="391"/>
      <c r="BT107" s="393"/>
    </row>
    <row r="108" spans="18:72" s="324" customFormat="1" ht="12" customHeight="1">
      <c r="R108" s="64"/>
      <c r="S108" s="570"/>
      <c r="T108" s="255"/>
      <c r="U108" s="64"/>
      <c r="V108" s="570"/>
      <c r="W108" s="736"/>
      <c r="X108" s="736"/>
      <c r="Y108" s="736"/>
      <c r="Z108" s="736"/>
      <c r="AA108" s="255"/>
      <c r="AB108" s="255"/>
      <c r="AC108" s="255"/>
      <c r="AD108" s="255"/>
      <c r="AE108" s="391"/>
      <c r="AF108" s="391"/>
      <c r="AG108" s="570"/>
      <c r="AH108" s="568"/>
      <c r="AI108" s="585"/>
      <c r="AJ108" s="585"/>
      <c r="AK108" s="585"/>
      <c r="AL108" s="585"/>
      <c r="AM108" s="391"/>
      <c r="AN108" s="585"/>
      <c r="AO108" s="391"/>
      <c r="AP108" s="391"/>
      <c r="AQ108" s="391"/>
      <c r="AR108" s="391"/>
      <c r="AS108" s="391"/>
      <c r="AT108" s="391"/>
      <c r="AU108" s="391"/>
      <c r="AV108" s="391"/>
      <c r="AW108" s="391"/>
      <c r="AX108" s="391"/>
      <c r="AY108" s="391"/>
      <c r="AZ108" s="391"/>
      <c r="BA108" s="391"/>
      <c r="BB108" s="391"/>
      <c r="BC108" s="391"/>
      <c r="BD108" s="391"/>
      <c r="BE108" s="391"/>
      <c r="BF108" s="391"/>
      <c r="BG108" s="391"/>
      <c r="BH108" s="568"/>
      <c r="BI108" s="585"/>
      <c r="BJ108" s="585"/>
      <c r="BK108" s="585"/>
      <c r="BL108" s="585"/>
      <c r="BM108" s="391"/>
      <c r="BN108" s="391"/>
      <c r="BO108" s="391"/>
      <c r="BP108" s="391"/>
      <c r="BQ108" s="391"/>
      <c r="BR108" s="391"/>
      <c r="BS108" s="391"/>
      <c r="BT108" s="570"/>
    </row>
    <row r="109" spans="18:72" s="324" customFormat="1" ht="12" customHeight="1">
      <c r="R109" s="64"/>
      <c r="S109" s="570"/>
      <c r="T109" s="255"/>
      <c r="U109" s="64"/>
      <c r="V109" s="570"/>
      <c r="W109" s="736"/>
      <c r="X109" s="736"/>
      <c r="Y109" s="736"/>
      <c r="Z109" s="736"/>
      <c r="AA109" s="255"/>
      <c r="AB109" s="255"/>
      <c r="AC109" s="255"/>
      <c r="AD109" s="255"/>
      <c r="AE109" s="391"/>
      <c r="AF109" s="391"/>
      <c r="AG109" s="570"/>
      <c r="AH109" s="568"/>
      <c r="AI109" s="585"/>
      <c r="AJ109" s="585"/>
      <c r="AK109" s="585"/>
      <c r="AL109" s="585"/>
      <c r="AM109" s="391"/>
      <c r="AN109" s="585"/>
      <c r="AO109" s="391"/>
      <c r="AP109" s="391"/>
      <c r="AQ109" s="391"/>
      <c r="AR109" s="391"/>
      <c r="AS109" s="391"/>
      <c r="AT109" s="391"/>
      <c r="AU109" s="391"/>
      <c r="AV109" s="391"/>
      <c r="AW109" s="391"/>
      <c r="AX109" s="391"/>
      <c r="AY109" s="391"/>
      <c r="AZ109" s="391"/>
      <c r="BA109" s="391"/>
      <c r="BB109" s="391"/>
      <c r="BC109" s="391"/>
      <c r="BD109" s="391"/>
      <c r="BE109" s="391"/>
      <c r="BF109" s="391"/>
      <c r="BG109" s="391"/>
      <c r="BH109" s="568"/>
      <c r="BI109" s="585"/>
      <c r="BJ109" s="585"/>
      <c r="BK109" s="585"/>
      <c r="BL109" s="585"/>
      <c r="BM109" s="391"/>
      <c r="BN109" s="391"/>
      <c r="BO109" s="391"/>
      <c r="BP109" s="391"/>
      <c r="BQ109" s="391"/>
      <c r="BR109" s="391"/>
      <c r="BS109" s="391"/>
      <c r="BT109" s="570"/>
    </row>
    <row r="110" spans="18:72" s="324" customFormat="1" ht="12" customHeight="1">
      <c r="R110" s="64"/>
      <c r="S110" s="570"/>
      <c r="T110" s="255"/>
      <c r="U110" s="64"/>
      <c r="V110" s="570"/>
      <c r="W110" s="736"/>
      <c r="X110" s="736"/>
      <c r="Y110" s="736"/>
      <c r="Z110" s="736"/>
      <c r="AA110" s="255"/>
      <c r="AB110" s="255"/>
      <c r="AC110" s="255"/>
      <c r="AD110" s="255"/>
      <c r="AE110" s="391"/>
      <c r="AF110" s="391"/>
      <c r="AG110" s="570"/>
      <c r="AH110" s="568"/>
      <c r="AI110" s="585"/>
      <c r="AJ110" s="585"/>
      <c r="AK110" s="585"/>
      <c r="AL110" s="585"/>
      <c r="AM110" s="391"/>
      <c r="AN110" s="585"/>
      <c r="AO110" s="391"/>
      <c r="AP110" s="391"/>
      <c r="AQ110" s="391"/>
      <c r="AR110" s="391"/>
      <c r="AS110" s="391"/>
      <c r="AT110" s="391"/>
      <c r="AU110" s="391"/>
      <c r="AV110" s="391"/>
      <c r="AW110" s="391"/>
      <c r="AX110" s="391"/>
      <c r="AY110" s="391"/>
      <c r="AZ110" s="391"/>
      <c r="BA110" s="391"/>
      <c r="BB110" s="391"/>
      <c r="BC110" s="391"/>
      <c r="BD110" s="391"/>
      <c r="BE110" s="391"/>
      <c r="BF110" s="391"/>
      <c r="BG110" s="391"/>
      <c r="BH110" s="568"/>
      <c r="BI110" s="585"/>
      <c r="BJ110" s="585"/>
      <c r="BK110" s="585"/>
      <c r="BL110" s="585"/>
      <c r="BM110" s="391"/>
      <c r="BN110" s="391"/>
      <c r="BO110" s="391"/>
      <c r="BP110" s="391"/>
      <c r="BQ110" s="391"/>
      <c r="BR110" s="391"/>
      <c r="BS110" s="391"/>
      <c r="BT110" s="570"/>
    </row>
    <row r="111" spans="18:72" s="324" customFormat="1" ht="12" customHeight="1">
      <c r="R111" s="64"/>
      <c r="S111" s="570"/>
      <c r="T111" s="64"/>
      <c r="U111" s="64"/>
      <c r="V111" s="570"/>
      <c r="W111" s="736"/>
      <c r="X111" s="736"/>
      <c r="Y111" s="736"/>
      <c r="Z111" s="736"/>
      <c r="AA111" s="255"/>
      <c r="AB111" s="255"/>
      <c r="AC111" s="255"/>
      <c r="AD111" s="255"/>
      <c r="AE111" s="391"/>
      <c r="AF111" s="391"/>
      <c r="AG111" s="570"/>
      <c r="AH111" s="568"/>
      <c r="AI111" s="585"/>
      <c r="AJ111" s="585"/>
      <c r="AK111" s="585"/>
      <c r="AL111" s="585"/>
      <c r="AM111" s="391"/>
      <c r="AN111" s="585"/>
      <c r="AO111" s="391"/>
      <c r="AP111" s="391"/>
      <c r="AQ111" s="391"/>
      <c r="AR111" s="391"/>
      <c r="AS111" s="391"/>
      <c r="AT111" s="391"/>
      <c r="AU111" s="391"/>
      <c r="AV111" s="391"/>
      <c r="AW111" s="391"/>
      <c r="AX111" s="391"/>
      <c r="AY111" s="391"/>
      <c r="AZ111" s="391"/>
      <c r="BA111" s="391"/>
      <c r="BB111" s="391"/>
      <c r="BC111" s="391"/>
      <c r="BD111" s="391"/>
      <c r="BE111" s="391"/>
      <c r="BF111" s="391"/>
      <c r="BG111" s="391"/>
      <c r="BH111" s="568"/>
      <c r="BI111" s="391"/>
      <c r="BJ111" s="391"/>
      <c r="BK111" s="585"/>
      <c r="BL111" s="585"/>
      <c r="BM111" s="391"/>
      <c r="BN111" s="391"/>
      <c r="BO111" s="391"/>
      <c r="BP111" s="391"/>
      <c r="BQ111" s="391"/>
      <c r="BR111" s="391"/>
      <c r="BS111" s="391"/>
      <c r="BT111" s="570"/>
    </row>
    <row r="112" spans="18:72" s="324" customFormat="1" ht="12" customHeight="1">
      <c r="R112" s="64"/>
      <c r="S112" s="570"/>
      <c r="T112" s="255"/>
      <c r="U112" s="64"/>
      <c r="V112" s="570"/>
      <c r="W112" s="736"/>
      <c r="X112" s="736"/>
      <c r="Y112" s="736"/>
      <c r="Z112" s="736"/>
      <c r="AA112" s="255"/>
      <c r="AB112" s="255"/>
      <c r="AC112" s="255"/>
      <c r="AD112" s="255"/>
      <c r="AE112" s="391"/>
      <c r="AF112" s="391"/>
      <c r="AG112" s="570"/>
      <c r="AH112" s="568"/>
      <c r="AI112" s="585"/>
      <c r="AJ112" s="585"/>
      <c r="AK112" s="585"/>
      <c r="AL112" s="585"/>
      <c r="AM112" s="391"/>
      <c r="AN112" s="585"/>
      <c r="AO112" s="391"/>
      <c r="AP112" s="391"/>
      <c r="AQ112" s="391"/>
      <c r="AR112" s="391"/>
      <c r="AS112" s="391"/>
      <c r="AT112" s="391"/>
      <c r="AU112" s="391"/>
      <c r="AV112" s="391"/>
      <c r="AW112" s="391"/>
      <c r="AX112" s="391"/>
      <c r="AY112" s="391"/>
      <c r="AZ112" s="792"/>
      <c r="BA112" s="595"/>
      <c r="BB112" s="391"/>
      <c r="BC112" s="391"/>
      <c r="BD112" s="391"/>
      <c r="BE112" s="391"/>
      <c r="BF112" s="391"/>
      <c r="BG112" s="391"/>
      <c r="BH112" s="568"/>
      <c r="BI112" s="391"/>
      <c r="BJ112" s="391"/>
      <c r="BK112" s="585"/>
      <c r="BL112" s="585"/>
      <c r="BM112" s="391"/>
      <c r="BN112" s="391"/>
      <c r="BO112" s="391"/>
      <c r="BP112" s="391"/>
      <c r="BQ112" s="391"/>
      <c r="BR112" s="391"/>
      <c r="BS112" s="391"/>
      <c r="BT112" s="570"/>
    </row>
    <row r="113" spans="18:72" s="324" customFormat="1" ht="12" customHeight="1">
      <c r="R113" s="64"/>
      <c r="S113" s="570"/>
      <c r="T113" s="64"/>
      <c r="U113" s="64"/>
      <c r="V113" s="570"/>
      <c r="W113" s="736"/>
      <c r="X113" s="736"/>
      <c r="Y113" s="736"/>
      <c r="Z113" s="736"/>
      <c r="AA113" s="255"/>
      <c r="AB113" s="255"/>
      <c r="AC113" s="255"/>
      <c r="AD113" s="255"/>
      <c r="AE113" s="391"/>
      <c r="AF113" s="391"/>
      <c r="AG113" s="570"/>
      <c r="AH113" s="568"/>
      <c r="AI113" s="585"/>
      <c r="AJ113" s="585"/>
      <c r="AK113" s="585"/>
      <c r="AL113" s="585"/>
      <c r="AM113" s="391"/>
      <c r="AN113" s="585"/>
      <c r="AO113" s="391"/>
      <c r="AP113" s="391"/>
      <c r="AQ113" s="391"/>
      <c r="AR113" s="391"/>
      <c r="AS113" s="391"/>
      <c r="AT113" s="391"/>
      <c r="AU113" s="391"/>
      <c r="AV113" s="391"/>
      <c r="AW113" s="391"/>
      <c r="AX113" s="391"/>
      <c r="AY113" s="391"/>
      <c r="AZ113" s="792"/>
      <c r="BA113" s="391"/>
      <c r="BB113" s="391"/>
      <c r="BC113" s="391"/>
      <c r="BD113" s="391"/>
      <c r="BE113" s="391"/>
      <c r="BF113" s="391"/>
      <c r="BG113" s="391"/>
      <c r="BH113" s="568"/>
      <c r="BI113" s="585"/>
      <c r="BJ113" s="585"/>
      <c r="BK113" s="585"/>
      <c r="BL113" s="585"/>
      <c r="BM113" s="391"/>
      <c r="BN113" s="391"/>
      <c r="BO113" s="391"/>
      <c r="BP113" s="391"/>
      <c r="BQ113" s="391"/>
      <c r="BR113" s="391"/>
      <c r="BS113" s="391"/>
      <c r="BT113" s="570"/>
    </row>
    <row r="114" spans="18:72" s="324" customFormat="1" ht="12" customHeight="1">
      <c r="R114" s="64"/>
      <c r="S114" s="570"/>
      <c r="T114" s="255"/>
      <c r="U114" s="64"/>
      <c r="V114" s="570"/>
      <c r="W114" s="570"/>
      <c r="X114" s="570"/>
      <c r="Y114" s="570"/>
      <c r="Z114" s="570"/>
      <c r="AA114" s="391"/>
      <c r="AB114" s="391"/>
      <c r="AC114" s="391"/>
      <c r="AD114" s="391"/>
      <c r="AE114" s="391"/>
      <c r="AF114" s="391"/>
      <c r="AG114" s="570"/>
      <c r="AH114" s="568"/>
      <c r="AI114" s="391"/>
      <c r="AJ114" s="391"/>
      <c r="AK114" s="391"/>
      <c r="AL114" s="391"/>
      <c r="AM114" s="391"/>
      <c r="AN114" s="585"/>
      <c r="AO114" s="391"/>
      <c r="AP114" s="391"/>
      <c r="AQ114" s="391"/>
      <c r="AR114" s="391"/>
      <c r="AS114" s="391"/>
      <c r="AT114" s="391"/>
      <c r="AU114" s="391"/>
      <c r="AV114" s="391"/>
      <c r="AW114" s="391"/>
      <c r="AX114" s="391"/>
      <c r="AY114" s="391"/>
      <c r="AZ114" s="585"/>
      <c r="BA114" s="391"/>
      <c r="BB114" s="391"/>
      <c r="BC114" s="585"/>
      <c r="BD114" s="585"/>
      <c r="BE114" s="585"/>
      <c r="BF114" s="391"/>
      <c r="BG114" s="391"/>
      <c r="BH114" s="568"/>
      <c r="BI114" s="391"/>
      <c r="BJ114" s="391"/>
      <c r="BK114" s="391"/>
      <c r="BL114" s="391"/>
      <c r="BM114" s="391"/>
      <c r="BN114" s="585"/>
      <c r="BO114" s="391"/>
      <c r="BP114" s="391"/>
      <c r="BQ114" s="391"/>
      <c r="BR114" s="391"/>
      <c r="BS114" s="391"/>
      <c r="BT114" s="570"/>
    </row>
    <row r="115" spans="18:72" s="324" customFormat="1" ht="12" customHeight="1">
      <c r="R115" s="64"/>
      <c r="S115" s="570"/>
      <c r="T115" s="333"/>
      <c r="U115" s="656"/>
      <c r="V115" s="570"/>
      <c r="W115" s="570"/>
      <c r="X115" s="570"/>
      <c r="Y115" s="570"/>
      <c r="Z115" s="570"/>
      <c r="AA115" s="391"/>
      <c r="AB115" s="391"/>
      <c r="AC115" s="391"/>
      <c r="AD115" s="391"/>
      <c r="AE115" s="391"/>
      <c r="AF115" s="391"/>
      <c r="AG115" s="570"/>
      <c r="AH115" s="568"/>
      <c r="AI115" s="391"/>
      <c r="AJ115" s="391"/>
      <c r="AK115" s="391"/>
      <c r="AL115" s="391"/>
      <c r="AM115" s="391"/>
      <c r="AN115" s="585"/>
      <c r="AO115" s="391"/>
      <c r="AP115" s="391"/>
      <c r="AQ115" s="391"/>
      <c r="AR115" s="391"/>
      <c r="AS115" s="391"/>
      <c r="AT115" s="391"/>
      <c r="AU115" s="391"/>
      <c r="AV115" s="391"/>
      <c r="AW115" s="391"/>
      <c r="AX115" s="391"/>
      <c r="AY115" s="391"/>
      <c r="AZ115" s="585"/>
      <c r="BA115" s="391"/>
      <c r="BB115" s="585"/>
      <c r="BC115" s="585"/>
      <c r="BD115" s="585"/>
      <c r="BE115" s="585"/>
      <c r="BF115" s="391"/>
      <c r="BG115" s="391"/>
      <c r="BH115" s="568"/>
      <c r="BI115" s="391"/>
      <c r="BJ115" s="391"/>
      <c r="BK115" s="391"/>
      <c r="BL115" s="391"/>
      <c r="BM115" s="391"/>
      <c r="BN115" s="585"/>
      <c r="BO115" s="391"/>
      <c r="BP115" s="391"/>
      <c r="BQ115" s="391"/>
      <c r="BR115" s="391"/>
      <c r="BS115" s="391"/>
      <c r="BT115" s="570"/>
    </row>
    <row r="116" spans="18:72" s="324" customFormat="1" ht="12" customHeight="1">
      <c r="R116" s="64"/>
      <c r="S116" s="570"/>
      <c r="T116" s="255"/>
      <c r="U116" s="64"/>
      <c r="V116" s="570"/>
      <c r="W116" s="570"/>
      <c r="X116" s="570"/>
      <c r="Y116" s="570"/>
      <c r="Z116" s="570"/>
      <c r="AA116" s="391"/>
      <c r="AB116" s="391"/>
      <c r="AC116" s="391"/>
      <c r="AD116" s="391"/>
      <c r="AE116" s="391"/>
      <c r="AF116" s="391"/>
      <c r="AG116" s="570"/>
      <c r="AH116" s="568"/>
      <c r="AI116" s="391"/>
      <c r="AJ116" s="391"/>
      <c r="AK116" s="391"/>
      <c r="AL116" s="391"/>
      <c r="AM116" s="391"/>
      <c r="AN116" s="585"/>
      <c r="AO116" s="391"/>
      <c r="AP116" s="391"/>
      <c r="AQ116" s="391"/>
      <c r="AR116" s="391"/>
      <c r="AS116" s="391"/>
      <c r="AT116" s="391"/>
      <c r="AU116" s="391"/>
      <c r="AV116" s="391"/>
      <c r="AW116" s="391"/>
      <c r="AX116" s="391"/>
      <c r="AY116" s="391"/>
      <c r="AZ116" s="585"/>
      <c r="BA116" s="391"/>
      <c r="BB116" s="585"/>
      <c r="BC116" s="585"/>
      <c r="BD116" s="391"/>
      <c r="BE116" s="585"/>
      <c r="BF116" s="391"/>
      <c r="BG116" s="391"/>
      <c r="BH116" s="568"/>
      <c r="BI116" s="391"/>
      <c r="BJ116" s="391"/>
      <c r="BK116" s="391"/>
      <c r="BL116" s="391"/>
      <c r="BM116" s="391"/>
      <c r="BN116" s="585"/>
      <c r="BO116" s="391"/>
      <c r="BP116" s="391"/>
      <c r="BQ116" s="391"/>
      <c r="BR116" s="391"/>
      <c r="BS116" s="391"/>
      <c r="BT116" s="570"/>
    </row>
    <row r="117" spans="18:72" s="324" customFormat="1" ht="12" customHeight="1">
      <c r="R117" s="64"/>
      <c r="S117" s="570"/>
      <c r="T117" s="255"/>
      <c r="U117" s="64"/>
      <c r="V117" s="570"/>
      <c r="W117" s="736"/>
      <c r="X117" s="736"/>
      <c r="Y117" s="736"/>
      <c r="Z117" s="736"/>
      <c r="AA117" s="255"/>
      <c r="AB117" s="255"/>
      <c r="AC117" s="255"/>
      <c r="AD117" s="255"/>
      <c r="AE117" s="391"/>
      <c r="AF117" s="391"/>
      <c r="AG117" s="570"/>
      <c r="AH117" s="568"/>
      <c r="AI117" s="391"/>
      <c r="AJ117" s="391"/>
      <c r="AK117" s="391"/>
      <c r="AL117" s="391"/>
      <c r="AM117" s="391"/>
      <c r="AN117" s="585"/>
      <c r="AO117" s="391"/>
      <c r="AP117" s="391"/>
      <c r="AQ117" s="391"/>
      <c r="AR117" s="391"/>
      <c r="AS117" s="391"/>
      <c r="AT117" s="391"/>
      <c r="AU117" s="391"/>
      <c r="AV117" s="391"/>
      <c r="AW117" s="391"/>
      <c r="AX117" s="391"/>
      <c r="AY117" s="391"/>
      <c r="AZ117" s="585"/>
      <c r="BA117" s="391"/>
      <c r="BB117" s="585"/>
      <c r="BC117" s="585"/>
      <c r="BD117" s="585"/>
      <c r="BE117" s="391"/>
      <c r="BF117" s="391"/>
      <c r="BG117" s="391"/>
      <c r="BH117" s="568"/>
      <c r="BI117" s="391"/>
      <c r="BJ117" s="391"/>
      <c r="BK117" s="391"/>
      <c r="BL117" s="391"/>
      <c r="BM117" s="391"/>
      <c r="BN117" s="585"/>
      <c r="BO117" s="391"/>
      <c r="BP117" s="391"/>
      <c r="BQ117" s="391"/>
      <c r="BR117" s="391"/>
      <c r="BS117" s="391"/>
      <c r="BT117" s="570"/>
    </row>
    <row r="118" spans="18:72" s="324" customFormat="1" ht="12" customHeight="1">
      <c r="R118" s="64"/>
      <c r="S118" s="570"/>
      <c r="T118" s="255"/>
      <c r="U118" s="64"/>
      <c r="V118" s="570"/>
      <c r="W118" s="736"/>
      <c r="X118" s="736"/>
      <c r="Y118" s="736"/>
      <c r="Z118" s="736"/>
      <c r="AA118" s="255"/>
      <c r="AB118" s="255"/>
      <c r="AC118" s="255"/>
      <c r="AD118" s="255"/>
      <c r="AE118" s="391"/>
      <c r="AF118" s="391"/>
      <c r="AG118" s="570"/>
      <c r="AH118" s="568"/>
      <c r="AI118" s="585"/>
      <c r="AJ118" s="585"/>
      <c r="AK118" s="585"/>
      <c r="AL118" s="585"/>
      <c r="AM118" s="391"/>
      <c r="AN118" s="585"/>
      <c r="AO118" s="391"/>
      <c r="AP118" s="391"/>
      <c r="AQ118" s="391"/>
      <c r="AR118" s="391"/>
      <c r="AS118" s="391"/>
      <c r="AT118" s="391"/>
      <c r="AU118" s="391"/>
      <c r="AV118" s="391"/>
      <c r="AW118" s="391"/>
      <c r="AX118" s="391"/>
      <c r="AY118" s="391"/>
      <c r="AZ118" s="391"/>
      <c r="BA118" s="391"/>
      <c r="BB118" s="391"/>
      <c r="BC118" s="391"/>
      <c r="BD118" s="391"/>
      <c r="BE118" s="391"/>
      <c r="BF118" s="391"/>
      <c r="BG118" s="391"/>
      <c r="BH118" s="568"/>
      <c r="BI118" s="585"/>
      <c r="BJ118" s="585"/>
      <c r="BK118" s="585"/>
      <c r="BL118" s="585"/>
      <c r="BM118" s="391"/>
      <c r="BN118" s="391"/>
      <c r="BO118" s="391"/>
      <c r="BP118" s="391"/>
      <c r="BQ118" s="391"/>
      <c r="BR118" s="391"/>
      <c r="BS118" s="391"/>
      <c r="BT118" s="570"/>
    </row>
    <row r="119" spans="18:72" s="324" customFormat="1" ht="12" customHeight="1">
      <c r="R119" s="64"/>
      <c r="S119" s="570"/>
      <c r="T119" s="64"/>
      <c r="U119" s="64"/>
      <c r="V119" s="570"/>
      <c r="W119" s="736"/>
      <c r="X119" s="736"/>
      <c r="Y119" s="736"/>
      <c r="Z119" s="736"/>
      <c r="AA119" s="255"/>
      <c r="AB119" s="255"/>
      <c r="AC119" s="255"/>
      <c r="AD119" s="255"/>
      <c r="AE119" s="391"/>
      <c r="AF119" s="391"/>
      <c r="AG119" s="570"/>
      <c r="AH119" s="568"/>
      <c r="AI119" s="585"/>
      <c r="AJ119" s="585"/>
      <c r="AK119" s="585"/>
      <c r="AL119" s="585"/>
      <c r="AM119" s="391"/>
      <c r="AN119" s="585"/>
      <c r="AO119" s="391"/>
      <c r="AP119" s="391"/>
      <c r="AQ119" s="391"/>
      <c r="AR119" s="391"/>
      <c r="AS119" s="391"/>
      <c r="AT119" s="391"/>
      <c r="AU119" s="391"/>
      <c r="AV119" s="391"/>
      <c r="AW119" s="391"/>
      <c r="AX119" s="391"/>
      <c r="AY119" s="391"/>
      <c r="AZ119" s="391"/>
      <c r="BA119" s="391"/>
      <c r="BB119" s="391"/>
      <c r="BC119" s="391"/>
      <c r="BD119" s="391"/>
      <c r="BE119" s="391"/>
      <c r="BF119" s="391"/>
      <c r="BG119" s="391"/>
      <c r="BH119" s="568"/>
      <c r="BI119" s="585"/>
      <c r="BJ119" s="585"/>
      <c r="BK119" s="585"/>
      <c r="BL119" s="585"/>
      <c r="BM119" s="391"/>
      <c r="BN119" s="391"/>
      <c r="BO119" s="391"/>
      <c r="BP119" s="391"/>
      <c r="BQ119" s="391"/>
      <c r="BR119" s="391"/>
      <c r="BS119" s="391"/>
      <c r="BT119" s="570"/>
    </row>
    <row r="120" spans="18:72" s="324" customFormat="1" ht="12" customHeight="1">
      <c r="R120" s="64"/>
      <c r="S120" s="570"/>
      <c r="T120" s="64"/>
      <c r="U120" s="64"/>
      <c r="V120" s="570"/>
      <c r="W120" s="736"/>
      <c r="X120" s="736"/>
      <c r="Y120" s="736"/>
      <c r="Z120" s="736"/>
      <c r="AA120" s="255"/>
      <c r="AB120" s="255"/>
      <c r="AC120" s="255"/>
      <c r="AD120" s="255"/>
      <c r="AE120" s="391"/>
      <c r="AF120" s="391"/>
      <c r="AG120" s="570"/>
      <c r="AH120" s="568"/>
      <c r="AI120" s="585"/>
      <c r="AJ120" s="585"/>
      <c r="AK120" s="585"/>
      <c r="AL120" s="585"/>
      <c r="AM120" s="391"/>
      <c r="AN120" s="585"/>
      <c r="AO120" s="391"/>
      <c r="AP120" s="585"/>
      <c r="AQ120" s="585"/>
      <c r="AR120" s="585"/>
      <c r="AS120" s="585"/>
      <c r="AT120" s="391"/>
      <c r="AU120" s="391"/>
      <c r="AV120" s="391"/>
      <c r="AW120" s="391"/>
      <c r="AX120" s="391"/>
      <c r="AY120" s="391"/>
      <c r="AZ120" s="391"/>
      <c r="BA120" s="391"/>
      <c r="BB120" s="391"/>
      <c r="BC120" s="391"/>
      <c r="BD120" s="391"/>
      <c r="BE120" s="568"/>
      <c r="BF120" s="391"/>
      <c r="BG120" s="391"/>
      <c r="BH120" s="568"/>
      <c r="BI120" s="585"/>
      <c r="BJ120" s="585"/>
      <c r="BK120" s="585"/>
      <c r="BL120" s="585"/>
      <c r="BM120" s="391"/>
      <c r="BN120" s="391"/>
      <c r="BO120" s="391"/>
      <c r="BP120" s="391"/>
      <c r="BQ120" s="391"/>
      <c r="BR120" s="391"/>
      <c r="BS120" s="391"/>
      <c r="BT120" s="570"/>
    </row>
    <row r="121" spans="18:72" s="324" customFormat="1" ht="12" customHeight="1">
      <c r="R121" s="64"/>
      <c r="S121" s="570"/>
      <c r="T121" s="64"/>
      <c r="U121" s="64"/>
      <c r="V121" s="570"/>
      <c r="W121" s="736"/>
      <c r="X121" s="736"/>
      <c r="Y121" s="736"/>
      <c r="Z121" s="736"/>
      <c r="AA121" s="255"/>
      <c r="AB121" s="255"/>
      <c r="AC121" s="255"/>
      <c r="AD121" s="255"/>
      <c r="AE121" s="391"/>
      <c r="AF121" s="391"/>
      <c r="AG121" s="570"/>
      <c r="AH121" s="568"/>
      <c r="AI121" s="391"/>
      <c r="AJ121" s="391"/>
      <c r="AK121" s="391"/>
      <c r="AL121" s="391"/>
      <c r="AM121" s="391"/>
      <c r="AN121" s="585"/>
      <c r="AO121" s="391"/>
      <c r="AP121" s="391"/>
      <c r="AQ121" s="391"/>
      <c r="AR121" s="391"/>
      <c r="AS121" s="391"/>
      <c r="AT121" s="391"/>
      <c r="AU121" s="391"/>
      <c r="AV121" s="391"/>
      <c r="AW121" s="391"/>
      <c r="AX121" s="391"/>
      <c r="AY121" s="391"/>
      <c r="AZ121" s="391"/>
      <c r="BA121" s="391"/>
      <c r="BB121" s="391"/>
      <c r="BC121" s="391"/>
      <c r="BD121" s="391"/>
      <c r="BE121" s="391"/>
      <c r="BF121" s="391"/>
      <c r="BG121" s="391"/>
      <c r="BH121" s="391"/>
      <c r="BI121" s="391"/>
      <c r="BJ121" s="391"/>
      <c r="BK121" s="391"/>
      <c r="BL121" s="391"/>
      <c r="BM121" s="391"/>
      <c r="BN121" s="391"/>
      <c r="BO121" s="391"/>
      <c r="BP121" s="391"/>
      <c r="BQ121" s="391"/>
      <c r="BR121" s="391"/>
      <c r="BS121" s="391"/>
      <c r="BT121" s="570"/>
    </row>
    <row r="122" spans="18:72" s="324" customFormat="1" ht="12" customHeight="1">
      <c r="R122" s="64"/>
      <c r="S122" s="64"/>
      <c r="T122" s="255"/>
      <c r="U122" s="64"/>
      <c r="V122" s="570"/>
      <c r="W122" s="570"/>
      <c r="X122" s="570"/>
      <c r="Y122" s="255"/>
      <c r="Z122" s="255"/>
      <c r="AA122" s="255"/>
      <c r="AB122" s="255"/>
      <c r="AC122" s="255"/>
      <c r="AD122" s="255"/>
      <c r="AE122" s="391"/>
      <c r="AF122" s="391"/>
      <c r="AG122" s="570"/>
      <c r="AH122" s="568"/>
      <c r="AI122" s="391"/>
      <c r="AJ122" s="391"/>
      <c r="AK122" s="391"/>
      <c r="AL122" s="391"/>
      <c r="AM122" s="391"/>
      <c r="AN122" s="585"/>
      <c r="AO122" s="391"/>
      <c r="AP122" s="391"/>
      <c r="AQ122" s="391"/>
      <c r="AR122" s="391"/>
      <c r="AS122" s="391"/>
      <c r="AT122" s="391"/>
      <c r="AU122" s="391"/>
      <c r="AV122" s="391"/>
      <c r="AW122" s="391"/>
      <c r="AX122" s="391"/>
      <c r="AY122" s="391"/>
      <c r="AZ122" s="391"/>
      <c r="BA122" s="391"/>
      <c r="BB122" s="391"/>
      <c r="BC122" s="391"/>
      <c r="BD122" s="391"/>
      <c r="BE122" s="391"/>
      <c r="BF122" s="391"/>
      <c r="BG122" s="391"/>
      <c r="BH122" s="391"/>
      <c r="BI122" s="391"/>
      <c r="BJ122" s="391"/>
      <c r="BK122" s="391"/>
      <c r="BL122" s="391"/>
      <c r="BM122" s="391"/>
      <c r="BN122" s="391"/>
      <c r="BO122" s="391"/>
      <c r="BP122" s="391"/>
      <c r="BQ122" s="391"/>
      <c r="BR122" s="391"/>
      <c r="BS122" s="391"/>
      <c r="BT122" s="570"/>
    </row>
    <row r="123" spans="18:72" s="324" customFormat="1" ht="12" customHeight="1">
      <c r="R123" s="64"/>
      <c r="S123" s="64"/>
      <c r="T123" s="64"/>
      <c r="U123" s="64"/>
      <c r="V123" s="570"/>
      <c r="W123" s="570"/>
      <c r="X123" s="570"/>
      <c r="Y123" s="255"/>
      <c r="Z123" s="255"/>
      <c r="AA123" s="255"/>
      <c r="AB123" s="255"/>
      <c r="AC123" s="255"/>
      <c r="AD123" s="255"/>
      <c r="AE123" s="391"/>
      <c r="AF123" s="391"/>
      <c r="AG123" s="570"/>
      <c r="AH123" s="568"/>
      <c r="AI123" s="391"/>
      <c r="AJ123" s="391"/>
      <c r="AK123" s="391"/>
      <c r="AL123" s="391"/>
      <c r="AM123" s="391"/>
      <c r="AN123" s="585"/>
      <c r="AO123" s="391"/>
      <c r="AP123" s="391"/>
      <c r="AQ123" s="391"/>
      <c r="AR123" s="391"/>
      <c r="AS123" s="391"/>
      <c r="AT123" s="391"/>
      <c r="AU123" s="391"/>
      <c r="AV123" s="391"/>
      <c r="AW123" s="391"/>
      <c r="AX123" s="391"/>
      <c r="AY123" s="391"/>
      <c r="AZ123" s="391"/>
      <c r="BA123" s="391"/>
      <c r="BB123" s="391"/>
      <c r="BC123" s="391"/>
      <c r="BD123" s="391"/>
      <c r="BE123" s="391"/>
      <c r="BF123" s="391"/>
      <c r="BG123" s="391"/>
      <c r="BH123" s="391"/>
      <c r="BI123" s="391"/>
      <c r="BJ123" s="391"/>
      <c r="BK123" s="391"/>
      <c r="BL123" s="391"/>
      <c r="BM123" s="391"/>
      <c r="BN123" s="391"/>
      <c r="BO123" s="391"/>
      <c r="BP123" s="391"/>
      <c r="BQ123" s="391"/>
      <c r="BR123" s="391"/>
      <c r="BS123" s="391"/>
      <c r="BT123" s="570"/>
    </row>
    <row r="124" spans="18:72" s="324" customFormat="1" ht="12" customHeight="1">
      <c r="R124" s="64"/>
      <c r="S124" s="64"/>
      <c r="T124" s="255"/>
      <c r="U124" s="64"/>
      <c r="V124" s="570"/>
      <c r="W124" s="570"/>
      <c r="X124" s="570"/>
      <c r="Y124" s="255"/>
      <c r="Z124" s="255"/>
      <c r="AA124" s="255"/>
      <c r="AB124" s="255"/>
      <c r="AC124" s="255"/>
      <c r="AD124" s="255"/>
      <c r="AE124" s="391"/>
      <c r="AF124" s="391"/>
      <c r="AG124" s="570"/>
      <c r="AH124" s="570"/>
      <c r="AI124" s="570"/>
      <c r="AJ124" s="570"/>
      <c r="AK124" s="391"/>
      <c r="AL124" s="391"/>
      <c r="AM124" s="391"/>
      <c r="AN124" s="568"/>
      <c r="AO124" s="391"/>
      <c r="AP124" s="391"/>
      <c r="AQ124" s="391"/>
      <c r="AR124" s="391"/>
      <c r="AS124" s="391"/>
      <c r="AT124" s="391"/>
      <c r="AU124" s="391"/>
      <c r="AV124" s="568"/>
      <c r="AW124" s="391"/>
      <c r="AX124" s="391"/>
      <c r="AY124" s="391"/>
      <c r="AZ124" s="391"/>
      <c r="BA124" s="391"/>
      <c r="BB124" s="391"/>
      <c r="BC124" s="391"/>
      <c r="BD124" s="391"/>
      <c r="BE124" s="391"/>
      <c r="BF124" s="391"/>
      <c r="BG124" s="391"/>
      <c r="BH124" s="391"/>
      <c r="BI124" s="391"/>
      <c r="BJ124" s="391"/>
      <c r="BK124" s="391"/>
      <c r="BL124" s="391"/>
      <c r="BM124" s="391"/>
      <c r="BN124" s="391"/>
      <c r="BO124" s="391"/>
      <c r="BP124" s="391"/>
      <c r="BQ124" s="391"/>
      <c r="BR124" s="570"/>
      <c r="BS124" s="570"/>
      <c r="BT124" s="570"/>
    </row>
    <row r="125" spans="18:72" s="324" customFormat="1" ht="12" customHeight="1">
      <c r="R125" s="64"/>
      <c r="S125" s="64"/>
      <c r="T125" s="255"/>
      <c r="U125" s="64"/>
      <c r="V125" s="570"/>
      <c r="W125" s="570"/>
      <c r="X125" s="570"/>
      <c r="Y125" s="255"/>
      <c r="Z125" s="255"/>
      <c r="AA125" s="255"/>
      <c r="AB125" s="255"/>
      <c r="AC125" s="255"/>
      <c r="AD125" s="255"/>
      <c r="AE125" s="255"/>
      <c r="AF125" s="255"/>
      <c r="AG125" s="570"/>
      <c r="AH125" s="570"/>
      <c r="AI125" s="570"/>
      <c r="AJ125" s="570"/>
      <c r="AK125" s="391"/>
      <c r="AL125" s="391"/>
      <c r="AM125" s="391"/>
      <c r="AN125" s="391"/>
      <c r="AO125" s="391"/>
      <c r="AP125" s="391"/>
      <c r="AQ125" s="391"/>
      <c r="AR125" s="391"/>
      <c r="AS125" s="391"/>
      <c r="AT125" s="391"/>
      <c r="AU125" s="391"/>
      <c r="AV125" s="391"/>
      <c r="AW125" s="391"/>
      <c r="AX125" s="391"/>
      <c r="AY125" s="391"/>
      <c r="AZ125" s="391"/>
      <c r="BA125" s="391"/>
      <c r="BB125" s="391"/>
      <c r="BC125" s="391"/>
      <c r="BD125" s="391"/>
      <c r="BE125" s="391"/>
      <c r="BF125" s="391"/>
      <c r="BG125" s="391"/>
      <c r="BH125" s="391"/>
      <c r="BI125" s="391"/>
      <c r="BJ125" s="391"/>
      <c r="BK125" s="391"/>
      <c r="BL125" s="391"/>
      <c r="BM125" s="391"/>
      <c r="BN125" s="391"/>
      <c r="BO125" s="391"/>
      <c r="BP125" s="391"/>
      <c r="BQ125" s="391"/>
      <c r="BR125" s="570"/>
      <c r="BS125" s="570"/>
      <c r="BT125" s="570"/>
    </row>
    <row r="126" spans="18:72" s="324" customFormat="1" ht="12" customHeight="1">
      <c r="R126" s="64"/>
      <c r="S126" s="64"/>
      <c r="T126" s="255"/>
      <c r="U126" s="64"/>
      <c r="V126" s="570"/>
      <c r="W126" s="570"/>
      <c r="X126" s="570"/>
      <c r="Y126" s="255"/>
      <c r="Z126" s="255"/>
      <c r="AA126" s="255"/>
      <c r="AB126" s="255"/>
      <c r="AC126" s="255"/>
      <c r="AD126" s="255"/>
      <c r="AE126" s="255"/>
      <c r="AF126" s="255"/>
      <c r="AG126" s="570"/>
      <c r="AH126" s="570"/>
      <c r="AI126" s="570"/>
      <c r="AJ126" s="570"/>
      <c r="AK126" s="391"/>
      <c r="AL126" s="391"/>
      <c r="AM126" s="391"/>
      <c r="AN126" s="391"/>
      <c r="AO126" s="391"/>
      <c r="AP126" s="391"/>
      <c r="AQ126" s="391"/>
      <c r="AR126" s="391"/>
      <c r="AS126" s="391"/>
      <c r="AT126" s="391"/>
      <c r="AU126" s="391"/>
      <c r="AV126" s="391"/>
      <c r="AW126" s="391"/>
      <c r="AX126" s="391"/>
      <c r="AY126" s="391"/>
      <c r="AZ126" s="391"/>
      <c r="BA126" s="391"/>
      <c r="BB126" s="391"/>
      <c r="BC126" s="391"/>
      <c r="BD126" s="391"/>
      <c r="BE126" s="391"/>
      <c r="BF126" s="391"/>
      <c r="BG126" s="391"/>
      <c r="BH126" s="391"/>
      <c r="BI126" s="391"/>
      <c r="BJ126" s="391"/>
      <c r="BK126" s="391"/>
      <c r="BL126" s="391"/>
      <c r="BM126" s="391"/>
      <c r="BN126" s="391"/>
      <c r="BO126" s="391"/>
      <c r="BP126" s="391"/>
      <c r="BQ126" s="391"/>
      <c r="BR126" s="570"/>
      <c r="BS126" s="570"/>
      <c r="BT126" s="570"/>
    </row>
    <row r="127" spans="18:72" s="324" customFormat="1" ht="12" customHeight="1">
      <c r="R127" s="64"/>
      <c r="S127" s="64"/>
      <c r="T127" s="64"/>
      <c r="U127" s="64"/>
      <c r="V127" s="570"/>
      <c r="W127" s="570"/>
      <c r="X127" s="570"/>
      <c r="Y127" s="255"/>
      <c r="Z127" s="255"/>
      <c r="AA127" s="255"/>
      <c r="AB127" s="255"/>
      <c r="AC127" s="255"/>
      <c r="AD127" s="255"/>
      <c r="AE127" s="255"/>
      <c r="AF127" s="255"/>
      <c r="AG127" s="570"/>
      <c r="AH127" s="570"/>
      <c r="AI127" s="570"/>
      <c r="AJ127" s="570"/>
      <c r="AK127" s="391"/>
      <c r="AL127" s="391"/>
      <c r="AM127" s="391"/>
      <c r="AN127" s="391"/>
      <c r="AO127" s="391"/>
      <c r="AP127" s="391"/>
      <c r="AQ127" s="391"/>
      <c r="AR127" s="391"/>
      <c r="AS127" s="391"/>
      <c r="AT127" s="391"/>
      <c r="AU127" s="391"/>
      <c r="AV127" s="391"/>
      <c r="AW127" s="391"/>
      <c r="AX127" s="391"/>
      <c r="AY127" s="391"/>
      <c r="AZ127" s="391"/>
      <c r="BA127" s="391"/>
      <c r="BB127" s="391"/>
      <c r="BC127" s="391"/>
      <c r="BD127" s="391"/>
      <c r="BE127" s="391"/>
      <c r="BF127" s="391"/>
      <c r="BG127" s="391"/>
      <c r="BH127" s="391"/>
      <c r="BI127" s="273"/>
      <c r="BJ127" s="273"/>
      <c r="BK127" s="273"/>
      <c r="BL127" s="273"/>
      <c r="BM127" s="255"/>
      <c r="BN127" s="391"/>
      <c r="BO127" s="391"/>
      <c r="BP127" s="659"/>
      <c r="BQ127" s="255"/>
      <c r="BR127" s="570"/>
      <c r="BS127" s="570"/>
      <c r="BT127" s="255"/>
    </row>
    <row r="128" spans="18:72" s="324" customFormat="1" ht="12" customHeight="1">
      <c r="R128" s="64"/>
      <c r="S128" s="64"/>
      <c r="T128" s="64"/>
      <c r="U128" s="64"/>
      <c r="V128" s="570"/>
      <c r="W128" s="570"/>
      <c r="X128" s="570"/>
      <c r="Y128" s="255"/>
      <c r="Z128" s="255"/>
      <c r="AA128" s="255"/>
      <c r="AB128" s="255"/>
      <c r="AC128" s="255"/>
      <c r="AD128" s="255"/>
      <c r="AE128" s="255"/>
      <c r="AF128" s="255"/>
      <c r="AG128" s="570"/>
      <c r="AH128" s="570"/>
      <c r="AI128" s="570"/>
      <c r="AJ128" s="570"/>
      <c r="AK128" s="391"/>
      <c r="AL128" s="391"/>
      <c r="AM128" s="391"/>
      <c r="AN128" s="391"/>
      <c r="AO128" s="391"/>
      <c r="AP128" s="391"/>
      <c r="AQ128" s="391"/>
      <c r="AR128" s="391"/>
      <c r="AS128" s="391"/>
      <c r="AT128" s="391"/>
      <c r="AU128" s="391"/>
      <c r="AV128" s="391"/>
      <c r="AW128" s="391"/>
      <c r="AX128" s="391"/>
      <c r="AY128" s="391"/>
      <c r="AZ128" s="391"/>
      <c r="BA128" s="391"/>
      <c r="BB128" s="391"/>
      <c r="BC128" s="391"/>
      <c r="BD128" s="391"/>
      <c r="BE128" s="391"/>
      <c r="BF128" s="391"/>
      <c r="BG128" s="391"/>
      <c r="BH128" s="391"/>
      <c r="BI128" s="391"/>
      <c r="BJ128" s="391"/>
      <c r="BK128" s="391"/>
      <c r="BL128" s="273"/>
      <c r="BM128" s="255"/>
      <c r="BN128" s="391"/>
      <c r="BO128" s="391"/>
      <c r="BP128" s="659"/>
      <c r="BQ128" s="64"/>
      <c r="BR128" s="333"/>
      <c r="BS128" s="570"/>
      <c r="BT128" s="255"/>
    </row>
    <row r="129" spans="18:72" s="324" customFormat="1" ht="12" customHeight="1">
      <c r="R129" s="64"/>
      <c r="S129" s="64"/>
      <c r="T129" s="64"/>
      <c r="U129" s="64"/>
      <c r="V129" s="570"/>
      <c r="W129" s="570"/>
      <c r="X129" s="570"/>
      <c r="Y129" s="255"/>
      <c r="Z129" s="255"/>
      <c r="AA129" s="255"/>
      <c r="AB129" s="255"/>
      <c r="AC129" s="255"/>
      <c r="AD129" s="255"/>
      <c r="AE129" s="255"/>
      <c r="AF129" s="255"/>
      <c r="AG129" s="570"/>
      <c r="AH129" s="570"/>
      <c r="AI129" s="737"/>
      <c r="AJ129" s="570"/>
      <c r="AK129" s="391"/>
      <c r="AL129" s="391"/>
      <c r="AM129" s="391"/>
      <c r="AN129" s="391"/>
      <c r="AO129" s="391"/>
      <c r="AP129" s="391"/>
      <c r="AQ129" s="391"/>
      <c r="AR129" s="391"/>
      <c r="AS129" s="391"/>
      <c r="AT129" s="391"/>
      <c r="AU129" s="391"/>
      <c r="AV129" s="391"/>
      <c r="AW129" s="391"/>
      <c r="AX129" s="391"/>
      <c r="AY129" s="391"/>
      <c r="AZ129" s="391"/>
      <c r="BA129" s="391"/>
      <c r="BB129" s="391"/>
      <c r="BC129" s="391"/>
      <c r="BD129" s="391"/>
      <c r="BE129" s="391"/>
      <c r="BF129" s="391"/>
      <c r="BG129" s="391"/>
      <c r="BH129" s="391"/>
      <c r="BI129" s="391"/>
      <c r="BJ129" s="391"/>
      <c r="BK129" s="391"/>
      <c r="BL129" s="391"/>
      <c r="BM129" s="255"/>
      <c r="BN129" s="391"/>
      <c r="BO129" s="391"/>
      <c r="BP129" s="659"/>
      <c r="BQ129" s="64"/>
      <c r="BR129" s="333"/>
      <c r="BS129" s="570"/>
      <c r="BT129" s="255"/>
    </row>
    <row r="130" spans="18:72" s="324" customFormat="1" ht="12" customHeight="1">
      <c r="R130" s="64"/>
      <c r="S130" s="64"/>
      <c r="T130" s="64"/>
      <c r="U130" s="64"/>
      <c r="V130" s="570"/>
      <c r="W130" s="570"/>
      <c r="X130" s="570"/>
      <c r="Y130" s="255"/>
      <c r="Z130" s="255"/>
      <c r="AA130" s="255"/>
      <c r="AB130" s="255"/>
      <c r="AC130" s="255"/>
      <c r="AD130" s="255"/>
      <c r="AE130" s="255"/>
      <c r="AF130" s="255"/>
      <c r="AG130" s="570"/>
      <c r="AH130" s="570"/>
      <c r="AI130" s="737"/>
      <c r="AJ130" s="570"/>
      <c r="AK130" s="391"/>
      <c r="AL130" s="391"/>
      <c r="AM130" s="391"/>
      <c r="AN130" s="391"/>
      <c r="AO130" s="391"/>
      <c r="AP130" s="391"/>
      <c r="AQ130" s="391"/>
      <c r="AR130" s="391"/>
      <c r="AS130" s="391"/>
      <c r="AT130" s="391"/>
      <c r="AU130" s="391"/>
      <c r="AV130" s="391"/>
      <c r="AW130" s="391"/>
      <c r="AX130" s="391"/>
      <c r="AY130" s="391"/>
      <c r="AZ130" s="391"/>
      <c r="BA130" s="391"/>
      <c r="BB130" s="391"/>
      <c r="BC130" s="391"/>
      <c r="BD130" s="391"/>
      <c r="BE130" s="391"/>
      <c r="BF130" s="391"/>
      <c r="BG130" s="391"/>
      <c r="BH130" s="391"/>
      <c r="BI130" s="391"/>
      <c r="BJ130" s="391"/>
      <c r="BK130" s="391"/>
      <c r="BL130" s="391"/>
      <c r="BM130" s="255"/>
      <c r="BN130" s="391"/>
      <c r="BO130" s="391"/>
      <c r="BP130" s="659"/>
      <c r="BQ130" s="64"/>
      <c r="BR130" s="333"/>
      <c r="BS130" s="570"/>
      <c r="BT130" s="255"/>
    </row>
    <row r="131" spans="18:72" s="324" customFormat="1" ht="12" customHeight="1">
      <c r="R131" s="64"/>
      <c r="S131" s="64"/>
      <c r="T131" s="64"/>
      <c r="U131" s="64"/>
      <c r="V131" s="570"/>
      <c r="W131" s="570"/>
      <c r="X131" s="570"/>
      <c r="Y131" s="255"/>
      <c r="Z131" s="255"/>
      <c r="AA131" s="255"/>
      <c r="AB131" s="255"/>
      <c r="AC131" s="255"/>
      <c r="AD131" s="255"/>
      <c r="AE131" s="255"/>
      <c r="AF131" s="255"/>
      <c r="AG131" s="570"/>
      <c r="AH131" s="570"/>
      <c r="AI131" s="570"/>
      <c r="AJ131" s="570"/>
      <c r="AK131" s="391"/>
      <c r="AL131" s="391"/>
      <c r="AM131" s="391"/>
      <c r="AN131" s="391"/>
      <c r="AO131" s="391"/>
      <c r="AP131" s="391"/>
      <c r="AQ131" s="391"/>
      <c r="AR131" s="391"/>
      <c r="AS131" s="391"/>
      <c r="AT131" s="391"/>
      <c r="AU131" s="391"/>
      <c r="AV131" s="391"/>
      <c r="AW131" s="391"/>
      <c r="AX131" s="391"/>
      <c r="AY131" s="391"/>
      <c r="AZ131" s="391"/>
      <c r="BA131" s="391"/>
      <c r="BB131" s="391"/>
      <c r="BC131" s="391"/>
      <c r="BD131" s="391"/>
      <c r="BE131" s="391"/>
      <c r="BF131" s="391"/>
      <c r="BG131" s="391"/>
      <c r="BH131" s="391"/>
      <c r="BI131" s="391"/>
      <c r="BJ131" s="391"/>
      <c r="BK131" s="391"/>
      <c r="BL131" s="391"/>
      <c r="BM131" s="255"/>
      <c r="BN131" s="391"/>
      <c r="BO131" s="391"/>
      <c r="BP131" s="659"/>
      <c r="BQ131" s="64"/>
      <c r="BR131" s="333"/>
      <c r="BS131" s="570"/>
      <c r="BT131" s="255"/>
    </row>
    <row r="132" spans="18:72" s="324" customFormat="1" ht="12" customHeight="1">
      <c r="R132" s="64"/>
      <c r="S132" s="64"/>
      <c r="T132" s="64"/>
      <c r="U132" s="64"/>
      <c r="V132" s="570"/>
      <c r="W132" s="570"/>
      <c r="X132" s="570"/>
      <c r="Y132" s="255"/>
      <c r="Z132" s="255"/>
      <c r="AA132" s="255"/>
      <c r="AB132" s="255"/>
      <c r="AC132" s="255"/>
      <c r="AD132" s="255"/>
      <c r="AE132" s="255"/>
      <c r="AF132" s="255"/>
      <c r="AG132" s="570"/>
      <c r="AH132" s="570"/>
      <c r="AI132" s="570"/>
      <c r="AJ132" s="570"/>
      <c r="AK132" s="391"/>
      <c r="AL132" s="391"/>
      <c r="AM132" s="391"/>
      <c r="AN132" s="391"/>
      <c r="AO132" s="391"/>
      <c r="AP132" s="391"/>
      <c r="AQ132" s="391"/>
      <c r="AR132" s="391"/>
      <c r="AS132" s="391"/>
      <c r="AT132" s="391"/>
      <c r="AU132" s="391"/>
      <c r="AV132" s="391"/>
      <c r="AW132" s="391"/>
      <c r="AX132" s="391"/>
      <c r="AY132" s="391"/>
      <c r="AZ132" s="391"/>
      <c r="BA132" s="391"/>
      <c r="BB132" s="391"/>
      <c r="BC132" s="391"/>
      <c r="BD132" s="391"/>
      <c r="BE132" s="391"/>
      <c r="BF132" s="391"/>
      <c r="BG132" s="391"/>
      <c r="BH132" s="391"/>
      <c r="BI132" s="391"/>
      <c r="BJ132" s="391"/>
      <c r="BK132" s="391"/>
      <c r="BL132" s="391"/>
      <c r="BM132" s="255"/>
      <c r="BN132" s="391"/>
      <c r="BO132" s="391"/>
      <c r="BP132" s="659"/>
      <c r="BQ132" s="64"/>
      <c r="BR132" s="333"/>
      <c r="BS132" s="570"/>
      <c r="BT132" s="255"/>
    </row>
    <row r="133" spans="18:72" s="324" customFormat="1" ht="12" customHeight="1">
      <c r="R133" s="64"/>
      <c r="S133" s="64"/>
      <c r="T133" s="64"/>
      <c r="U133" s="64"/>
      <c r="V133" s="570"/>
      <c r="W133" s="570"/>
      <c r="X133" s="570"/>
      <c r="Y133" s="255"/>
      <c r="Z133" s="255"/>
      <c r="AA133" s="255"/>
      <c r="AB133" s="255"/>
      <c r="AC133" s="255"/>
      <c r="AD133" s="255"/>
      <c r="AE133" s="255"/>
      <c r="AF133" s="255"/>
      <c r="AG133" s="570"/>
      <c r="AH133" s="570"/>
      <c r="AI133" s="570"/>
      <c r="AJ133" s="570"/>
      <c r="AK133" s="391"/>
      <c r="AL133" s="391"/>
      <c r="AM133" s="391"/>
      <c r="AN133" s="391"/>
      <c r="AO133" s="391"/>
      <c r="AP133" s="391"/>
      <c r="AQ133" s="391"/>
      <c r="AR133" s="391"/>
      <c r="AS133" s="391"/>
      <c r="AT133" s="391"/>
      <c r="AU133" s="391"/>
      <c r="AV133" s="391"/>
      <c r="AW133" s="391"/>
      <c r="AX133" s="391"/>
      <c r="AY133" s="391"/>
      <c r="AZ133" s="391"/>
      <c r="BA133" s="391"/>
      <c r="BB133" s="391"/>
      <c r="BC133" s="391"/>
      <c r="BD133" s="391"/>
      <c r="BE133" s="391"/>
      <c r="BF133" s="391"/>
      <c r="BG133" s="391"/>
      <c r="BH133" s="391"/>
      <c r="BI133" s="391"/>
      <c r="BJ133" s="391"/>
      <c r="BK133" s="391"/>
      <c r="BL133" s="391"/>
      <c r="BM133" s="255"/>
      <c r="BN133" s="391"/>
      <c r="BO133" s="391"/>
      <c r="BP133" s="659"/>
      <c r="BQ133" s="64"/>
      <c r="BR133" s="333"/>
      <c r="BS133" s="570"/>
      <c r="BT133" s="255"/>
    </row>
    <row r="134" spans="18:72" s="324" customFormat="1" ht="12" customHeight="1">
      <c r="R134" s="64"/>
      <c r="S134" s="64"/>
      <c r="T134" s="64"/>
      <c r="U134" s="64"/>
      <c r="V134" s="570"/>
      <c r="W134" s="570"/>
      <c r="X134" s="570"/>
      <c r="Y134" s="255"/>
      <c r="Z134" s="255"/>
      <c r="AA134" s="255"/>
      <c r="AB134" s="255"/>
      <c r="AC134" s="255"/>
      <c r="AD134" s="255"/>
      <c r="AE134" s="255"/>
      <c r="AF134" s="255"/>
      <c r="AG134" s="570"/>
      <c r="AH134" s="570"/>
      <c r="AI134" s="570"/>
      <c r="AJ134" s="570"/>
      <c r="AK134" s="391"/>
      <c r="AL134" s="391"/>
      <c r="AM134" s="391"/>
      <c r="AN134" s="391"/>
      <c r="AO134" s="391"/>
      <c r="AP134" s="391"/>
      <c r="AQ134" s="391"/>
      <c r="AR134" s="391"/>
      <c r="AS134" s="391"/>
      <c r="AT134" s="391"/>
      <c r="AU134" s="391"/>
      <c r="AV134" s="391"/>
      <c r="AW134" s="391"/>
      <c r="AX134" s="391"/>
      <c r="AY134" s="391"/>
      <c r="AZ134" s="391"/>
      <c r="BA134" s="391"/>
      <c r="BB134" s="391"/>
      <c r="BC134" s="391"/>
      <c r="BD134" s="391"/>
      <c r="BE134" s="391"/>
      <c r="BF134" s="391"/>
      <c r="BG134" s="391"/>
      <c r="BH134" s="391"/>
      <c r="BI134" s="391"/>
      <c r="BJ134" s="391"/>
      <c r="BK134" s="391"/>
      <c r="BL134" s="391"/>
      <c r="BM134" s="255"/>
      <c r="BN134" s="391"/>
      <c r="BO134" s="391"/>
      <c r="BP134" s="659"/>
      <c r="BQ134" s="64"/>
      <c r="BR134" s="333"/>
      <c r="BS134" s="570"/>
      <c r="BT134" s="255"/>
    </row>
    <row r="135" spans="18:72" s="324" customFormat="1" ht="12" customHeight="1">
      <c r="R135" s="64"/>
      <c r="S135" s="64"/>
      <c r="T135" s="64"/>
      <c r="U135" s="64"/>
      <c r="V135" s="570"/>
      <c r="W135" s="570"/>
      <c r="X135" s="570"/>
      <c r="Y135" s="255"/>
      <c r="Z135" s="255"/>
      <c r="AA135" s="255"/>
      <c r="AB135" s="255"/>
      <c r="AC135" s="255"/>
      <c r="AD135" s="255"/>
      <c r="AE135" s="255"/>
      <c r="AF135" s="255"/>
      <c r="AG135" s="570"/>
      <c r="AH135" s="570"/>
      <c r="AI135" s="570"/>
      <c r="AJ135" s="570"/>
      <c r="AK135" s="391"/>
      <c r="AL135" s="391"/>
      <c r="AM135" s="391"/>
      <c r="AN135" s="391"/>
      <c r="AO135" s="391"/>
      <c r="AP135" s="391"/>
      <c r="AQ135" s="391"/>
      <c r="AR135" s="391"/>
      <c r="AS135" s="391"/>
      <c r="AT135" s="391"/>
      <c r="AU135" s="391"/>
      <c r="AV135" s="391"/>
      <c r="AW135" s="391"/>
      <c r="AX135" s="391"/>
      <c r="AY135" s="391"/>
      <c r="AZ135" s="391"/>
      <c r="BA135" s="391"/>
      <c r="BB135" s="391"/>
      <c r="BC135" s="391"/>
      <c r="BD135" s="391"/>
      <c r="BE135" s="391"/>
      <c r="BF135" s="391"/>
      <c r="BG135" s="391"/>
      <c r="BH135" s="391"/>
      <c r="BI135" s="391"/>
      <c r="BJ135" s="391"/>
      <c r="BK135" s="391"/>
      <c r="BL135" s="391"/>
      <c r="BM135" s="255"/>
      <c r="BN135" s="391"/>
      <c r="BO135" s="391"/>
      <c r="BP135" s="659"/>
      <c r="BQ135" s="64"/>
      <c r="BR135" s="333"/>
      <c r="BS135" s="570"/>
      <c r="BT135" s="255"/>
    </row>
    <row r="136" spans="18:72" s="324" customFormat="1" ht="12" customHeight="1">
      <c r="R136" s="64"/>
      <c r="S136" s="64"/>
      <c r="T136" s="64"/>
      <c r="U136" s="64"/>
      <c r="V136" s="570"/>
      <c r="W136" s="570"/>
      <c r="X136" s="570"/>
      <c r="Y136" s="255"/>
      <c r="Z136" s="255"/>
      <c r="AA136" s="255"/>
      <c r="AB136" s="255"/>
      <c r="AC136" s="255"/>
      <c r="AD136" s="255"/>
      <c r="AE136" s="255"/>
      <c r="AF136" s="255"/>
      <c r="AG136" s="570"/>
      <c r="AH136" s="570"/>
      <c r="AI136" s="570"/>
      <c r="AJ136" s="570"/>
      <c r="AK136" s="391"/>
      <c r="AL136" s="391"/>
      <c r="AM136" s="391"/>
      <c r="AN136" s="391"/>
      <c r="AO136" s="391"/>
      <c r="AP136" s="391"/>
      <c r="AQ136" s="391"/>
      <c r="AR136" s="391"/>
      <c r="AS136" s="391"/>
      <c r="AT136" s="391"/>
      <c r="AU136" s="391"/>
      <c r="AV136" s="391"/>
      <c r="AW136" s="391"/>
      <c r="AX136" s="391"/>
      <c r="AY136" s="391"/>
      <c r="AZ136" s="391"/>
      <c r="BA136" s="391"/>
      <c r="BB136" s="391"/>
      <c r="BC136" s="391"/>
      <c r="BD136" s="391"/>
      <c r="BE136" s="391"/>
      <c r="BF136" s="391"/>
      <c r="BG136" s="391"/>
      <c r="BH136" s="391"/>
      <c r="BI136" s="391"/>
      <c r="BJ136" s="391"/>
      <c r="BK136" s="391"/>
      <c r="BL136" s="391"/>
      <c r="BM136" s="255"/>
      <c r="BN136" s="391"/>
      <c r="BO136" s="391"/>
      <c r="BP136" s="659"/>
      <c r="BQ136" s="64"/>
      <c r="BR136" s="333"/>
      <c r="BS136" s="570"/>
      <c r="BT136" s="255"/>
    </row>
    <row r="137" spans="18:72" s="324" customFormat="1" ht="12" customHeight="1">
      <c r="R137" s="64"/>
      <c r="S137" s="64"/>
      <c r="T137" s="64"/>
      <c r="U137" s="64"/>
      <c r="V137" s="570"/>
      <c r="W137" s="570"/>
      <c r="X137" s="570"/>
      <c r="Y137" s="255"/>
      <c r="Z137" s="255"/>
      <c r="AA137" s="255"/>
      <c r="AB137" s="255"/>
      <c r="AC137" s="255"/>
      <c r="AD137" s="255"/>
      <c r="AE137" s="255"/>
      <c r="AF137" s="255"/>
      <c r="AG137" s="570"/>
      <c r="AH137" s="570"/>
      <c r="AI137" s="570"/>
      <c r="AJ137" s="570"/>
      <c r="AK137" s="391"/>
      <c r="AL137" s="391"/>
      <c r="AM137" s="391"/>
      <c r="AN137" s="391"/>
      <c r="AO137" s="391"/>
      <c r="AP137" s="391"/>
      <c r="AQ137" s="391"/>
      <c r="AR137" s="391"/>
      <c r="AS137" s="391"/>
      <c r="AT137" s="391"/>
      <c r="AU137" s="391"/>
      <c r="AV137" s="391"/>
      <c r="AW137" s="391"/>
      <c r="AX137" s="391"/>
      <c r="AY137" s="391"/>
      <c r="AZ137" s="391"/>
      <c r="BA137" s="391"/>
      <c r="BB137" s="391"/>
      <c r="BC137" s="391"/>
      <c r="BD137" s="391"/>
      <c r="BE137" s="391"/>
      <c r="BF137" s="391"/>
      <c r="BG137" s="391"/>
      <c r="BH137" s="391"/>
      <c r="BI137" s="391"/>
      <c r="BJ137" s="391"/>
      <c r="BK137" s="391"/>
      <c r="BL137" s="391"/>
      <c r="BM137" s="255"/>
      <c r="BN137" s="391"/>
      <c r="BO137" s="391"/>
      <c r="BP137" s="659"/>
      <c r="BQ137" s="64"/>
      <c r="BR137" s="333"/>
      <c r="BS137" s="570"/>
      <c r="BT137" s="255"/>
    </row>
    <row r="138" spans="18:72" s="324" customFormat="1" ht="12" customHeight="1">
      <c r="R138" s="64"/>
      <c r="S138" s="64"/>
      <c r="T138" s="64"/>
      <c r="U138" s="64"/>
      <c r="V138" s="570"/>
      <c r="W138" s="570"/>
      <c r="X138" s="570"/>
      <c r="Y138" s="255"/>
      <c r="Z138" s="255"/>
      <c r="AA138" s="255"/>
      <c r="AB138" s="255"/>
      <c r="AC138" s="255"/>
      <c r="AD138" s="255"/>
      <c r="AE138" s="255"/>
      <c r="AF138" s="255"/>
      <c r="AG138" s="570"/>
      <c r="AH138" s="570"/>
      <c r="AI138" s="570"/>
      <c r="AJ138" s="570"/>
      <c r="AK138" s="391"/>
      <c r="AL138" s="391"/>
      <c r="AM138" s="391"/>
      <c r="AN138" s="391"/>
      <c r="AO138" s="391"/>
      <c r="AP138" s="391"/>
      <c r="AQ138" s="391"/>
      <c r="AR138" s="391"/>
      <c r="AS138" s="391"/>
      <c r="AT138" s="391"/>
      <c r="AU138" s="391"/>
      <c r="AV138" s="391"/>
      <c r="AW138" s="391"/>
      <c r="AX138" s="391"/>
      <c r="AY138" s="391"/>
      <c r="AZ138" s="391"/>
      <c r="BA138" s="391"/>
      <c r="BB138" s="391"/>
      <c r="BC138" s="391"/>
      <c r="BD138" s="391"/>
      <c r="BE138" s="391"/>
      <c r="BF138" s="391"/>
      <c r="BG138" s="391"/>
      <c r="BH138" s="391"/>
      <c r="BI138" s="391"/>
      <c r="BJ138" s="391"/>
      <c r="BK138" s="391"/>
      <c r="BL138" s="391"/>
      <c r="BM138" s="255"/>
      <c r="BN138" s="391"/>
      <c r="BO138" s="391"/>
      <c r="BP138" s="659"/>
      <c r="BQ138" s="64"/>
      <c r="BR138" s="333"/>
      <c r="BS138" s="570"/>
      <c r="BT138" s="255"/>
    </row>
    <row r="139" spans="18:72" s="324" customFormat="1" ht="12" customHeight="1">
      <c r="R139" s="64"/>
      <c r="S139" s="64"/>
      <c r="T139" s="64"/>
      <c r="U139" s="64"/>
      <c r="V139" s="570"/>
      <c r="W139" s="570"/>
      <c r="X139" s="570"/>
      <c r="Y139" s="255"/>
      <c r="Z139" s="255"/>
      <c r="AA139" s="255"/>
      <c r="AB139" s="255"/>
      <c r="AC139" s="255"/>
      <c r="AD139" s="255"/>
      <c r="AE139" s="255"/>
      <c r="AF139" s="255"/>
      <c r="AG139" s="570"/>
      <c r="AH139" s="570"/>
      <c r="AI139" s="570"/>
      <c r="AJ139" s="570"/>
      <c r="AK139" s="391"/>
      <c r="AL139" s="391"/>
      <c r="AM139" s="391"/>
      <c r="AN139" s="391"/>
      <c r="AO139" s="391"/>
      <c r="AP139" s="391"/>
      <c r="AQ139" s="391"/>
      <c r="AR139" s="391"/>
      <c r="AS139" s="391"/>
      <c r="AT139" s="391"/>
      <c r="AU139" s="391"/>
      <c r="AV139" s="391"/>
      <c r="AW139" s="391"/>
      <c r="AX139" s="391"/>
      <c r="AY139" s="391"/>
      <c r="AZ139" s="391"/>
      <c r="BA139" s="391"/>
      <c r="BB139" s="391"/>
      <c r="BC139" s="391"/>
      <c r="BD139" s="391"/>
      <c r="BE139" s="391"/>
      <c r="BF139" s="391"/>
      <c r="BG139" s="391"/>
      <c r="BH139" s="391"/>
      <c r="BI139" s="391"/>
      <c r="BJ139" s="391"/>
      <c r="BK139" s="391"/>
      <c r="BL139" s="391"/>
      <c r="BM139" s="391"/>
      <c r="BN139" s="391"/>
      <c r="BO139" s="391"/>
      <c r="BP139" s="391"/>
      <c r="BQ139" s="391"/>
      <c r="BR139" s="570"/>
      <c r="BS139" s="570"/>
      <c r="BT139" s="570"/>
    </row>
    <row r="140" spans="18:72" s="324" customFormat="1" ht="12" customHeight="1">
      <c r="R140" s="64"/>
      <c r="S140" s="64"/>
      <c r="T140" s="64"/>
      <c r="U140" s="64"/>
      <c r="V140" s="570"/>
      <c r="W140" s="570"/>
      <c r="X140" s="570"/>
      <c r="Y140" s="255"/>
      <c r="Z140" s="255"/>
      <c r="AA140" s="255"/>
      <c r="AB140" s="255"/>
      <c r="AC140" s="255"/>
      <c r="AD140" s="255"/>
      <c r="AE140" s="255"/>
      <c r="AF140" s="255"/>
      <c r="AG140" s="570"/>
      <c r="AH140" s="570"/>
      <c r="AI140" s="570"/>
      <c r="AJ140" s="570"/>
      <c r="AK140" s="391"/>
      <c r="AL140" s="391"/>
      <c r="AM140" s="391"/>
      <c r="AN140" s="391"/>
      <c r="AO140" s="391"/>
      <c r="AP140" s="391"/>
      <c r="AQ140" s="391"/>
      <c r="AR140" s="391"/>
      <c r="AS140" s="391"/>
      <c r="AT140" s="391"/>
      <c r="AU140" s="391"/>
      <c r="AV140" s="391"/>
      <c r="AW140" s="391"/>
      <c r="AX140" s="391"/>
      <c r="AY140" s="391"/>
      <c r="AZ140" s="391"/>
      <c r="BA140" s="391"/>
      <c r="BB140" s="391"/>
      <c r="BC140" s="391"/>
      <c r="BD140" s="391"/>
      <c r="BE140" s="391"/>
      <c r="BF140" s="391"/>
      <c r="BG140" s="391"/>
      <c r="BH140" s="391"/>
      <c r="BI140" s="391"/>
      <c r="BJ140" s="391"/>
      <c r="BK140" s="391"/>
      <c r="BL140" s="391"/>
      <c r="BM140" s="391"/>
      <c r="BN140" s="391"/>
      <c r="BO140" s="391"/>
      <c r="BP140" s="391"/>
      <c r="BQ140" s="391"/>
      <c r="BR140" s="570"/>
      <c r="BS140" s="570"/>
      <c r="BT140" s="570"/>
    </row>
    <row r="141" spans="18:72" s="324" customFormat="1" ht="12" customHeight="1">
      <c r="R141" s="64"/>
      <c r="S141" s="64"/>
      <c r="T141" s="64"/>
      <c r="U141" s="64"/>
      <c r="V141" s="570"/>
      <c r="W141" s="570"/>
      <c r="X141" s="570"/>
      <c r="Y141" s="255"/>
      <c r="Z141" s="255"/>
      <c r="AA141" s="255"/>
      <c r="AB141" s="255"/>
      <c r="AC141" s="255"/>
      <c r="AD141" s="255"/>
      <c r="AE141" s="255"/>
      <c r="AF141" s="255"/>
      <c r="AG141" s="570"/>
      <c r="AH141" s="570"/>
      <c r="AI141" s="570"/>
      <c r="AJ141" s="570"/>
      <c r="AK141" s="391"/>
      <c r="AL141" s="391"/>
      <c r="AM141" s="391"/>
      <c r="AN141" s="391"/>
      <c r="AO141" s="391"/>
      <c r="AP141" s="391"/>
      <c r="AQ141" s="391"/>
      <c r="AR141" s="391"/>
      <c r="AS141" s="391"/>
      <c r="AT141" s="391"/>
      <c r="AU141" s="391"/>
      <c r="AV141" s="391"/>
      <c r="AW141" s="391"/>
      <c r="AX141" s="391"/>
      <c r="AY141" s="391"/>
      <c r="AZ141" s="391"/>
      <c r="BA141" s="391"/>
      <c r="BB141" s="391"/>
      <c r="BC141" s="391"/>
      <c r="BD141" s="391"/>
      <c r="BE141" s="391"/>
      <c r="BF141" s="391"/>
      <c r="BG141" s="391"/>
      <c r="BH141" s="391"/>
      <c r="BI141" s="391"/>
      <c r="BJ141" s="391"/>
      <c r="BK141" s="391"/>
      <c r="BL141" s="391"/>
      <c r="BM141" s="391"/>
      <c r="BN141" s="391"/>
      <c r="BO141" s="391"/>
      <c r="BP141" s="391"/>
      <c r="BQ141" s="391"/>
      <c r="BR141" s="570"/>
      <c r="BS141" s="570"/>
      <c r="BT141" s="570"/>
    </row>
    <row r="142" spans="18:72" s="324" customFormat="1" ht="12" customHeight="1">
      <c r="R142" s="64"/>
      <c r="S142" s="64"/>
      <c r="T142" s="64"/>
      <c r="U142" s="64"/>
      <c r="V142" s="570"/>
      <c r="W142" s="570"/>
      <c r="X142" s="570"/>
      <c r="Y142" s="255"/>
      <c r="Z142" s="255"/>
      <c r="AA142" s="255"/>
      <c r="AB142" s="255"/>
      <c r="AC142" s="255"/>
      <c r="AD142" s="255"/>
      <c r="AE142" s="255"/>
      <c r="AF142" s="255"/>
      <c r="AG142" s="570"/>
      <c r="AH142" s="570"/>
      <c r="AI142" s="570"/>
      <c r="AJ142" s="570"/>
      <c r="AK142" s="391"/>
      <c r="AL142" s="391"/>
      <c r="AM142" s="391"/>
      <c r="AN142" s="391"/>
      <c r="AO142" s="391"/>
      <c r="AP142" s="391"/>
      <c r="AQ142" s="391"/>
      <c r="AR142" s="391"/>
      <c r="AS142" s="391"/>
      <c r="AT142" s="391"/>
      <c r="AU142" s="391"/>
      <c r="AV142" s="391"/>
      <c r="AW142" s="391"/>
      <c r="AX142" s="391"/>
      <c r="AY142" s="391"/>
      <c r="AZ142" s="391"/>
      <c r="BA142" s="391"/>
      <c r="BB142" s="391"/>
      <c r="BC142" s="391"/>
      <c r="BD142" s="391"/>
      <c r="BE142" s="391"/>
      <c r="BF142" s="391"/>
      <c r="BG142" s="391"/>
      <c r="BH142" s="391"/>
      <c r="BI142" s="391"/>
      <c r="BJ142" s="391"/>
      <c r="BK142" s="391"/>
      <c r="BL142" s="391"/>
      <c r="BM142" s="391"/>
      <c r="BN142" s="391"/>
      <c r="BO142" s="391"/>
      <c r="BP142" s="391"/>
      <c r="BQ142" s="391"/>
      <c r="BR142" s="570"/>
      <c r="BS142" s="570"/>
      <c r="BT142" s="570"/>
    </row>
    <row r="143" spans="18:72" s="324" customFormat="1" ht="12" customHeight="1">
      <c r="R143" s="64"/>
      <c r="S143" s="64"/>
      <c r="T143" s="64"/>
      <c r="U143" s="64"/>
      <c r="V143" s="570"/>
      <c r="W143" s="570"/>
      <c r="X143" s="570"/>
      <c r="Y143" s="255"/>
      <c r="Z143" s="255"/>
      <c r="AA143" s="255"/>
      <c r="AB143" s="255"/>
      <c r="AC143" s="255"/>
      <c r="AD143" s="255"/>
      <c r="AE143" s="255"/>
      <c r="AF143" s="255"/>
      <c r="AG143" s="570"/>
      <c r="AH143" s="570"/>
      <c r="AI143" s="570"/>
      <c r="AJ143" s="570"/>
      <c r="AK143" s="391"/>
      <c r="AL143" s="391"/>
      <c r="AM143" s="391"/>
      <c r="AN143" s="391"/>
      <c r="AO143" s="391"/>
      <c r="AP143" s="391"/>
      <c r="AQ143" s="391"/>
      <c r="AR143" s="391"/>
      <c r="AS143" s="391"/>
      <c r="AT143" s="391"/>
      <c r="AU143" s="391"/>
      <c r="AV143" s="391"/>
      <c r="AW143" s="391"/>
      <c r="AX143" s="391"/>
      <c r="AY143" s="391"/>
      <c r="AZ143" s="391"/>
      <c r="BA143" s="391"/>
      <c r="BB143" s="391"/>
      <c r="BC143" s="391"/>
      <c r="BD143" s="391"/>
      <c r="BE143" s="391"/>
      <c r="BF143" s="391"/>
      <c r="BG143" s="391"/>
      <c r="BH143" s="391"/>
      <c r="BI143" s="391"/>
      <c r="BJ143" s="391"/>
      <c r="BK143" s="391"/>
      <c r="BL143" s="391"/>
      <c r="BM143" s="391"/>
      <c r="BN143" s="391"/>
      <c r="BO143" s="391"/>
      <c r="BP143" s="391"/>
      <c r="BQ143" s="391"/>
      <c r="BR143" s="570"/>
      <c r="BS143" s="570"/>
      <c r="BT143" s="570"/>
    </row>
    <row r="144" spans="18:72" s="324" customFormat="1" ht="12" customHeight="1">
      <c r="R144" s="64"/>
      <c r="S144" s="64"/>
      <c r="T144" s="64"/>
      <c r="U144" s="64"/>
      <c r="V144" s="570"/>
      <c r="W144" s="570"/>
      <c r="X144" s="570"/>
      <c r="Y144" s="255"/>
      <c r="Z144" s="255"/>
      <c r="AA144" s="255"/>
      <c r="AB144" s="255"/>
      <c r="AC144" s="255"/>
      <c r="AD144" s="255"/>
      <c r="AE144" s="255"/>
      <c r="AF144" s="255"/>
      <c r="AG144" s="570"/>
      <c r="AH144" s="570"/>
      <c r="AI144" s="570"/>
      <c r="AJ144" s="570"/>
      <c r="AK144" s="391"/>
      <c r="AL144" s="391"/>
      <c r="AM144" s="391"/>
      <c r="AN144" s="391"/>
      <c r="AO144" s="391"/>
      <c r="AP144" s="391"/>
      <c r="AQ144" s="391"/>
      <c r="AR144" s="391"/>
      <c r="AS144" s="391"/>
      <c r="AT144" s="391"/>
      <c r="AU144" s="391"/>
      <c r="AV144" s="391"/>
      <c r="AW144" s="391"/>
      <c r="AX144" s="391"/>
      <c r="AY144" s="391"/>
      <c r="AZ144" s="391"/>
      <c r="BA144" s="391"/>
      <c r="BB144" s="391"/>
      <c r="BC144" s="391"/>
      <c r="BD144" s="391"/>
      <c r="BE144" s="391"/>
      <c r="BF144" s="391"/>
      <c r="BG144" s="391"/>
      <c r="BH144" s="391"/>
      <c r="BI144" s="391"/>
      <c r="BJ144" s="391"/>
      <c r="BK144" s="391"/>
      <c r="BL144" s="391"/>
      <c r="BM144" s="391"/>
      <c r="BN144" s="391"/>
      <c r="BO144" s="391"/>
      <c r="BP144" s="391"/>
      <c r="BQ144" s="391"/>
      <c r="BR144" s="570"/>
      <c r="BS144" s="570"/>
      <c r="BT144" s="570"/>
    </row>
    <row r="145" spans="2:72" s="324" customFormat="1" ht="12" customHeight="1">
      <c r="B145" s="771"/>
      <c r="C145" s="771"/>
      <c r="D145" s="771"/>
      <c r="E145" s="771"/>
      <c r="F145" s="771"/>
      <c r="G145" s="771"/>
      <c r="H145" s="771"/>
      <c r="I145" s="771"/>
      <c r="J145" s="771"/>
      <c r="K145" s="771"/>
      <c r="L145" s="771"/>
      <c r="M145" s="771"/>
      <c r="R145" s="663"/>
      <c r="S145" s="663"/>
      <c r="T145" s="663"/>
      <c r="U145" s="663"/>
      <c r="V145" s="663"/>
      <c r="W145" s="663"/>
      <c r="X145" s="663"/>
      <c r="Y145" s="663"/>
      <c r="Z145" s="663"/>
      <c r="AA145" s="663"/>
      <c r="AB145" s="663"/>
      <c r="AC145" s="663"/>
      <c r="AE145" s="63"/>
      <c r="AF145" s="666"/>
      <c r="AG145" s="667"/>
      <c r="AI145" s="570"/>
      <c r="AJ145" s="570"/>
      <c r="AK145" s="391"/>
      <c r="AL145" s="391"/>
      <c r="AM145" s="391"/>
      <c r="AN145" s="391"/>
      <c r="AO145" s="391"/>
      <c r="AP145" s="391"/>
      <c r="AQ145" s="391"/>
      <c r="AR145" s="391"/>
      <c r="AS145" s="391"/>
      <c r="AT145" s="391"/>
      <c r="AU145" s="391"/>
      <c r="AV145" s="391"/>
      <c r="AW145" s="391"/>
      <c r="AX145" s="391"/>
      <c r="AY145" s="391"/>
      <c r="AZ145" s="391"/>
      <c r="BA145" s="391"/>
      <c r="BB145" s="391"/>
      <c r="BC145" s="391"/>
      <c r="BD145" s="391"/>
      <c r="BE145" s="391"/>
      <c r="BF145" s="391"/>
      <c r="BG145" s="391"/>
      <c r="BH145" s="391"/>
      <c r="BI145" s="391"/>
      <c r="BJ145" s="391"/>
      <c r="BK145" s="391"/>
      <c r="BL145" s="391"/>
      <c r="BM145" s="391"/>
      <c r="BN145" s="391"/>
      <c r="BO145" s="391"/>
      <c r="BP145" s="391"/>
      <c r="BQ145" s="391"/>
      <c r="BR145" s="570"/>
      <c r="BS145" s="570"/>
      <c r="BT145" s="570"/>
    </row>
    <row r="146" spans="18:72" s="324" customFormat="1" ht="12" customHeight="1">
      <c r="R146" s="640"/>
      <c r="S146" s="640"/>
      <c r="T146" s="640"/>
      <c r="U146" s="640"/>
      <c r="V146" s="640"/>
      <c r="W146" s="640"/>
      <c r="X146" s="640"/>
      <c r="Y146" s="640"/>
      <c r="Z146" s="640"/>
      <c r="AA146" s="640"/>
      <c r="AB146" s="640"/>
      <c r="AC146" s="640"/>
      <c r="AD146" s="640"/>
      <c r="AE146" s="640"/>
      <c r="AF146" s="640"/>
      <c r="AG146" s="640"/>
      <c r="AI146" s="570"/>
      <c r="AJ146" s="570"/>
      <c r="AK146" s="391"/>
      <c r="AL146" s="391"/>
      <c r="AM146" s="391"/>
      <c r="AN146" s="391"/>
      <c r="AO146" s="391"/>
      <c r="AP146" s="391"/>
      <c r="AQ146" s="391"/>
      <c r="AR146" s="391"/>
      <c r="AS146" s="391"/>
      <c r="AT146" s="391"/>
      <c r="AU146" s="391"/>
      <c r="AV146" s="391"/>
      <c r="AW146" s="391"/>
      <c r="AX146" s="391"/>
      <c r="AY146" s="391"/>
      <c r="AZ146" s="391"/>
      <c r="BA146" s="391"/>
      <c r="BB146" s="391"/>
      <c r="BC146" s="391"/>
      <c r="BD146" s="391"/>
      <c r="BE146" s="391"/>
      <c r="BF146" s="391"/>
      <c r="BG146" s="391"/>
      <c r="BH146" s="391"/>
      <c r="BI146" s="391"/>
      <c r="BJ146" s="391"/>
      <c r="BK146" s="391"/>
      <c r="BL146" s="391"/>
      <c r="BM146" s="391"/>
      <c r="BN146" s="391"/>
      <c r="BO146" s="391"/>
      <c r="BP146" s="391"/>
      <c r="BQ146" s="391"/>
      <c r="BR146" s="570"/>
      <c r="BS146" s="570"/>
      <c r="BT146" s="570"/>
    </row>
    <row r="147" spans="2:72" s="324" customFormat="1" ht="12" customHeight="1">
      <c r="B147" s="754"/>
      <c r="C147" s="754"/>
      <c r="D147" s="754"/>
      <c r="E147" s="754"/>
      <c r="F147" s="754"/>
      <c r="G147" s="754"/>
      <c r="H147" s="754"/>
      <c r="I147" s="754"/>
      <c r="J147" s="754"/>
      <c r="K147" s="754"/>
      <c r="L147" s="754"/>
      <c r="M147" s="754"/>
      <c r="R147" s="754"/>
      <c r="S147" s="754"/>
      <c r="T147" s="754"/>
      <c r="U147" s="754"/>
      <c r="V147" s="754"/>
      <c r="W147" s="754"/>
      <c r="X147" s="754"/>
      <c r="Y147" s="754"/>
      <c r="Z147" s="754"/>
      <c r="AA147" s="754"/>
      <c r="AB147" s="754"/>
      <c r="AC147" s="754"/>
      <c r="AD147" s="754"/>
      <c r="AE147" s="754"/>
      <c r="AF147" s="754"/>
      <c r="AG147" s="754"/>
      <c r="AI147" s="570"/>
      <c r="AJ147" s="570"/>
      <c r="AK147" s="391"/>
      <c r="AL147" s="391"/>
      <c r="AM147" s="391"/>
      <c r="AN147" s="391"/>
      <c r="AO147" s="391"/>
      <c r="AP147" s="391"/>
      <c r="AQ147" s="391"/>
      <c r="AR147" s="391"/>
      <c r="AS147" s="391"/>
      <c r="AT147" s="391"/>
      <c r="AU147" s="391"/>
      <c r="AV147" s="391"/>
      <c r="AW147" s="391"/>
      <c r="AX147" s="391"/>
      <c r="AY147" s="391"/>
      <c r="AZ147" s="391"/>
      <c r="BA147" s="391"/>
      <c r="BB147" s="391"/>
      <c r="BC147" s="391"/>
      <c r="BD147" s="391"/>
      <c r="BE147" s="391"/>
      <c r="BF147" s="391"/>
      <c r="BG147" s="391"/>
      <c r="BH147" s="391"/>
      <c r="BI147" s="391"/>
      <c r="BJ147" s="391"/>
      <c r="BK147" s="391"/>
      <c r="BL147" s="391"/>
      <c r="BM147" s="391"/>
      <c r="BN147" s="391"/>
      <c r="BO147" s="391"/>
      <c r="BP147" s="391"/>
      <c r="BQ147" s="391"/>
      <c r="BR147" s="570"/>
      <c r="BS147" s="570"/>
      <c r="BT147" s="570"/>
    </row>
    <row r="148" spans="18:72" s="324" customFormat="1" ht="12" customHeight="1">
      <c r="R148" s="754"/>
      <c r="S148" s="754"/>
      <c r="T148" s="754"/>
      <c r="U148" s="754"/>
      <c r="V148" s="754"/>
      <c r="W148" s="754"/>
      <c r="X148" s="754"/>
      <c r="Y148" s="754"/>
      <c r="Z148" s="754"/>
      <c r="AA148" s="754"/>
      <c r="AB148" s="754"/>
      <c r="AC148" s="754"/>
      <c r="AD148" s="754"/>
      <c r="AE148" s="754"/>
      <c r="AF148" s="754"/>
      <c r="AG148" s="754"/>
      <c r="AI148" s="570"/>
      <c r="AJ148" s="570"/>
      <c r="AK148" s="391"/>
      <c r="AL148" s="391"/>
      <c r="AM148" s="391"/>
      <c r="AN148" s="391"/>
      <c r="AO148" s="391"/>
      <c r="AP148" s="391"/>
      <c r="AQ148" s="391"/>
      <c r="AR148" s="391"/>
      <c r="AS148" s="391"/>
      <c r="AT148" s="391"/>
      <c r="AU148" s="391"/>
      <c r="AV148" s="391"/>
      <c r="AW148" s="391"/>
      <c r="AX148" s="391"/>
      <c r="AY148" s="391"/>
      <c r="AZ148" s="391"/>
      <c r="BA148" s="391"/>
      <c r="BB148" s="391"/>
      <c r="BC148" s="391"/>
      <c r="BD148" s="391"/>
      <c r="BE148" s="391"/>
      <c r="BF148" s="391"/>
      <c r="BG148" s="391"/>
      <c r="BH148" s="391"/>
      <c r="BI148" s="391"/>
      <c r="BJ148" s="391"/>
      <c r="BK148" s="391"/>
      <c r="BL148" s="391"/>
      <c r="BM148" s="391"/>
      <c r="BN148" s="391"/>
      <c r="BO148" s="391"/>
      <c r="BP148" s="391"/>
      <c r="BQ148" s="391"/>
      <c r="BR148" s="570"/>
      <c r="BS148" s="570"/>
      <c r="BT148" s="570"/>
    </row>
    <row r="149" spans="2:72" s="324" customFormat="1" ht="12" customHeight="1">
      <c r="B149" s="448"/>
      <c r="C149" s="448"/>
      <c r="D149" s="448"/>
      <c r="E149" s="448"/>
      <c r="F149" s="448"/>
      <c r="G149" s="448"/>
      <c r="H149" s="448"/>
      <c r="I149" s="448"/>
      <c r="J149" s="448"/>
      <c r="K149" s="448"/>
      <c r="L149" s="448"/>
      <c r="M149" s="448"/>
      <c r="O149" s="645"/>
      <c r="P149" s="645"/>
      <c r="R149" s="448"/>
      <c r="S149" s="448"/>
      <c r="T149" s="448"/>
      <c r="U149" s="448"/>
      <c r="V149" s="448"/>
      <c r="W149" s="448"/>
      <c r="X149" s="448"/>
      <c r="Y149" s="448"/>
      <c r="Z149" s="448"/>
      <c r="AA149" s="448"/>
      <c r="AB149" s="448"/>
      <c r="AC149" s="448"/>
      <c r="AI149" s="570"/>
      <c r="AJ149" s="570"/>
      <c r="AK149" s="391"/>
      <c r="AL149" s="391"/>
      <c r="AM149" s="391"/>
      <c r="AN149" s="391"/>
      <c r="AO149" s="391"/>
      <c r="AP149" s="391"/>
      <c r="AQ149" s="391"/>
      <c r="AR149" s="391"/>
      <c r="AS149" s="391"/>
      <c r="AT149" s="391"/>
      <c r="AU149" s="391"/>
      <c r="AV149" s="391"/>
      <c r="AW149" s="391"/>
      <c r="AX149" s="391"/>
      <c r="AY149" s="391"/>
      <c r="AZ149" s="391"/>
      <c r="BA149" s="391"/>
      <c r="BB149" s="391"/>
      <c r="BC149" s="391"/>
      <c r="BD149" s="391"/>
      <c r="BE149" s="391"/>
      <c r="BF149" s="391"/>
      <c r="BG149" s="391"/>
      <c r="BH149" s="391"/>
      <c r="BI149" s="391"/>
      <c r="BJ149" s="391"/>
      <c r="BK149" s="391"/>
      <c r="BL149" s="391"/>
      <c r="BM149" s="391"/>
      <c r="BN149" s="391"/>
      <c r="BO149" s="391"/>
      <c r="BP149" s="391"/>
      <c r="BQ149" s="391"/>
      <c r="BR149" s="570"/>
      <c r="BS149" s="570"/>
      <c r="BT149" s="570"/>
    </row>
    <row r="150" spans="2:72" s="324" customFormat="1" ht="12" customHeight="1">
      <c r="B150" s="373"/>
      <c r="C150" s="756"/>
      <c r="D150" s="757"/>
      <c r="E150" s="757"/>
      <c r="F150" s="757"/>
      <c r="G150" s="757"/>
      <c r="H150" s="373"/>
      <c r="I150" s="373"/>
      <c r="J150" s="373"/>
      <c r="K150" s="373"/>
      <c r="L150" s="756"/>
      <c r="M150" s="758"/>
      <c r="O150" s="645"/>
      <c r="P150" s="645"/>
      <c r="R150" s="756"/>
      <c r="S150" s="757"/>
      <c r="T150" s="757"/>
      <c r="U150" s="757"/>
      <c r="V150" s="757"/>
      <c r="W150" s="373"/>
      <c r="X150" s="373"/>
      <c r="Y150" s="373"/>
      <c r="Z150" s="373"/>
      <c r="AA150" s="757"/>
      <c r="AB150" s="757"/>
      <c r="AC150" s="757"/>
      <c r="AD150" s="51"/>
      <c r="AE150" s="772"/>
      <c r="AF150" s="772"/>
      <c r="AG150" s="772"/>
      <c r="AI150" s="570"/>
      <c r="AJ150" s="570"/>
      <c r="AK150" s="391"/>
      <c r="AL150" s="391"/>
      <c r="AM150" s="391"/>
      <c r="AN150" s="391"/>
      <c r="AO150" s="391"/>
      <c r="AP150" s="391"/>
      <c r="AQ150" s="391"/>
      <c r="AR150" s="391"/>
      <c r="AS150" s="391"/>
      <c r="AT150" s="391"/>
      <c r="AU150" s="391"/>
      <c r="AV150" s="391"/>
      <c r="AW150" s="391"/>
      <c r="AX150" s="391"/>
      <c r="AY150" s="391"/>
      <c r="AZ150" s="391"/>
      <c r="BA150" s="391"/>
      <c r="BB150" s="391"/>
      <c r="BC150" s="391"/>
      <c r="BD150" s="391"/>
      <c r="BE150" s="391"/>
      <c r="BF150" s="391"/>
      <c r="BG150" s="391"/>
      <c r="BH150" s="391"/>
      <c r="BI150" s="391"/>
      <c r="BJ150" s="391"/>
      <c r="BK150" s="391"/>
      <c r="BL150" s="391"/>
      <c r="BM150" s="391"/>
      <c r="BN150" s="391"/>
      <c r="BO150" s="391"/>
      <c r="BP150" s="391"/>
      <c r="BQ150" s="391"/>
      <c r="BR150" s="570"/>
      <c r="BS150" s="570"/>
      <c r="BT150" s="570"/>
    </row>
    <row r="151" spans="2:72" s="324" customFormat="1" ht="12" customHeight="1">
      <c r="B151" s="373"/>
      <c r="C151" s="756"/>
      <c r="D151" s="653"/>
      <c r="E151" s="674"/>
      <c r="F151" s="676"/>
      <c r="G151" s="676"/>
      <c r="H151" s="676"/>
      <c r="I151" s="676"/>
      <c r="J151" s="676"/>
      <c r="K151" s="676"/>
      <c r="L151" s="756"/>
      <c r="M151" s="758"/>
      <c r="O151" s="645"/>
      <c r="P151" s="645"/>
      <c r="R151" s="756"/>
      <c r="S151" s="758"/>
      <c r="T151" s="758"/>
      <c r="U151" s="676"/>
      <c r="V151" s="676"/>
      <c r="W151" s="676"/>
      <c r="X151" s="676"/>
      <c r="Y151" s="676"/>
      <c r="Z151" s="676"/>
      <c r="AA151" s="676"/>
      <c r="AB151" s="676"/>
      <c r="AC151" s="676"/>
      <c r="AD151" s="51"/>
      <c r="AE151" s="772"/>
      <c r="AF151" s="772"/>
      <c r="AG151" s="772"/>
      <c r="AI151" s="570"/>
      <c r="AJ151" s="570"/>
      <c r="AK151" s="391"/>
      <c r="AL151" s="391"/>
      <c r="AM151" s="391"/>
      <c r="AN151" s="391"/>
      <c r="AO151" s="391"/>
      <c r="AP151" s="391"/>
      <c r="AQ151" s="391"/>
      <c r="AR151" s="391"/>
      <c r="AS151" s="391"/>
      <c r="AT151" s="391"/>
      <c r="AU151" s="391"/>
      <c r="AV151" s="391"/>
      <c r="AW151" s="391"/>
      <c r="AX151" s="391"/>
      <c r="AY151" s="391"/>
      <c r="AZ151" s="391"/>
      <c r="BA151" s="391"/>
      <c r="BB151" s="391"/>
      <c r="BC151" s="391"/>
      <c r="BD151" s="391"/>
      <c r="BE151" s="391"/>
      <c r="BF151" s="391"/>
      <c r="BG151" s="391"/>
      <c r="BH151" s="391"/>
      <c r="BI151" s="391"/>
      <c r="BJ151" s="391"/>
      <c r="BK151" s="391"/>
      <c r="BL151" s="391"/>
      <c r="BM151" s="391"/>
      <c r="BN151" s="391"/>
      <c r="BO151" s="391"/>
      <c r="BP151" s="391"/>
      <c r="BQ151" s="391"/>
      <c r="BR151" s="570"/>
      <c r="BS151" s="570"/>
      <c r="BT151" s="570"/>
    </row>
    <row r="152" spans="2:72" s="324" customFormat="1" ht="12" customHeight="1">
      <c r="B152" s="373"/>
      <c r="C152" s="756"/>
      <c r="D152" s="674"/>
      <c r="E152" s="674"/>
      <c r="F152" s="677"/>
      <c r="G152" s="677"/>
      <c r="H152" s="677"/>
      <c r="I152" s="677"/>
      <c r="J152" s="677"/>
      <c r="K152" s="677"/>
      <c r="L152" s="756"/>
      <c r="M152" s="758"/>
      <c r="O152" s="645"/>
      <c r="P152" s="645"/>
      <c r="R152" s="756"/>
      <c r="S152" s="758"/>
      <c r="T152" s="758"/>
      <c r="U152" s="677"/>
      <c r="V152" s="677"/>
      <c r="W152" s="677"/>
      <c r="X152" s="677"/>
      <c r="Y152" s="677"/>
      <c r="Z152" s="677"/>
      <c r="AA152" s="676"/>
      <c r="AB152" s="674"/>
      <c r="AC152" s="674"/>
      <c r="AD152" s="51"/>
      <c r="AE152" s="772"/>
      <c r="AF152" s="772"/>
      <c r="AG152" s="772"/>
      <c r="AI152" s="570"/>
      <c r="AJ152" s="570"/>
      <c r="AK152" s="391"/>
      <c r="AL152" s="391"/>
      <c r="AM152" s="391"/>
      <c r="AN152" s="391"/>
      <c r="AO152" s="391"/>
      <c r="AP152" s="391"/>
      <c r="AQ152" s="391"/>
      <c r="AR152" s="391"/>
      <c r="AS152" s="391"/>
      <c r="AT152" s="391"/>
      <c r="AU152" s="391"/>
      <c r="AV152" s="391"/>
      <c r="AW152" s="391"/>
      <c r="AX152" s="391"/>
      <c r="AY152" s="391"/>
      <c r="AZ152" s="391"/>
      <c r="BA152" s="391"/>
      <c r="BB152" s="391"/>
      <c r="BC152" s="391"/>
      <c r="BD152" s="391"/>
      <c r="BE152" s="391"/>
      <c r="BF152" s="391"/>
      <c r="BG152" s="391"/>
      <c r="BH152" s="391"/>
      <c r="BI152" s="391"/>
      <c r="BJ152" s="391"/>
      <c r="BK152" s="391"/>
      <c r="BL152" s="391"/>
      <c r="BM152" s="391"/>
      <c r="BN152" s="391"/>
      <c r="BO152" s="391"/>
      <c r="BP152" s="391"/>
      <c r="BQ152" s="391"/>
      <c r="BR152" s="570"/>
      <c r="BS152" s="570"/>
      <c r="BT152" s="792"/>
    </row>
    <row r="153" spans="2:72" s="324" customFormat="1" ht="12" customHeight="1">
      <c r="B153" s="652"/>
      <c r="C153" s="759"/>
      <c r="D153" s="738"/>
      <c r="E153" s="739"/>
      <c r="F153" s="739"/>
      <c r="G153" s="740"/>
      <c r="H153" s="680"/>
      <c r="I153" s="680"/>
      <c r="J153" s="680"/>
      <c r="K153" s="680"/>
      <c r="L153" s="588"/>
      <c r="M153" s="588"/>
      <c r="R153" s="759"/>
      <c r="S153" s="738"/>
      <c r="T153" s="739"/>
      <c r="U153" s="685"/>
      <c r="V153" s="685"/>
      <c r="W153" s="587"/>
      <c r="X153" s="587"/>
      <c r="Y153" s="587"/>
      <c r="Z153" s="587"/>
      <c r="AA153" s="588"/>
      <c r="AB153" s="588"/>
      <c r="AC153" s="588"/>
      <c r="AD153" s="51"/>
      <c r="AE153" s="773"/>
      <c r="AF153" s="773"/>
      <c r="AG153" s="773"/>
      <c r="AI153" s="570"/>
      <c r="AJ153" s="589"/>
      <c r="AK153" s="391"/>
      <c r="AL153" s="391"/>
      <c r="AM153" s="391"/>
      <c r="AN153" s="391"/>
      <c r="AO153" s="587"/>
      <c r="AP153" s="587"/>
      <c r="AQ153" s="587"/>
      <c r="AR153" s="587"/>
      <c r="AS153" s="588"/>
      <c r="AT153" s="391"/>
      <c r="AU153" s="589"/>
      <c r="AV153" s="391"/>
      <c r="AW153" s="585"/>
      <c r="AX153" s="585"/>
      <c r="AY153" s="585"/>
      <c r="AZ153" s="585"/>
      <c r="BA153" s="391"/>
      <c r="BB153" s="391"/>
      <c r="BC153" s="391"/>
      <c r="BD153" s="391"/>
      <c r="BE153" s="391"/>
      <c r="BF153" s="391"/>
      <c r="BG153" s="391"/>
      <c r="BH153" s="391"/>
      <c r="BI153" s="391"/>
      <c r="BJ153" s="391"/>
      <c r="BK153" s="391"/>
      <c r="BL153" s="391"/>
      <c r="BM153" s="391"/>
      <c r="BN153" s="391"/>
      <c r="BO153" s="391"/>
      <c r="BP153" s="391"/>
      <c r="BQ153" s="391"/>
      <c r="BR153" s="570"/>
      <c r="BS153" s="570"/>
      <c r="BT153" s="792"/>
    </row>
    <row r="154" spans="2:72" s="324" customFormat="1" ht="12" customHeight="1">
      <c r="B154" s="686"/>
      <c r="C154" s="759"/>
      <c r="D154" s="742"/>
      <c r="E154" s="739"/>
      <c r="F154" s="739"/>
      <c r="G154" s="740"/>
      <c r="H154" s="680"/>
      <c r="I154" s="680"/>
      <c r="J154" s="680"/>
      <c r="K154" s="680"/>
      <c r="L154" s="588"/>
      <c r="M154" s="588"/>
      <c r="O154" s="760"/>
      <c r="P154" s="760"/>
      <c r="R154" s="759"/>
      <c r="S154" s="738"/>
      <c r="T154" s="739"/>
      <c r="U154" s="685"/>
      <c r="V154" s="685"/>
      <c r="W154" s="579"/>
      <c r="X154" s="579"/>
      <c r="Y154" s="579"/>
      <c r="Z154" s="579"/>
      <c r="AA154" s="588"/>
      <c r="AB154" s="588"/>
      <c r="AC154" s="588"/>
      <c r="AD154" s="51"/>
      <c r="AE154" s="773"/>
      <c r="AF154" s="773"/>
      <c r="AG154" s="773"/>
      <c r="AI154" s="570"/>
      <c r="AJ154" s="589"/>
      <c r="AK154" s="391"/>
      <c r="AL154" s="391"/>
      <c r="AM154" s="391"/>
      <c r="AN154" s="391"/>
      <c r="AO154" s="579"/>
      <c r="AP154" s="579"/>
      <c r="AQ154" s="579"/>
      <c r="AR154" s="579"/>
      <c r="AS154" s="588"/>
      <c r="AT154" s="391"/>
      <c r="AU154" s="589"/>
      <c r="AV154" s="391"/>
      <c r="AW154" s="393"/>
      <c r="AX154" s="393"/>
      <c r="AY154" s="393"/>
      <c r="AZ154" s="393"/>
      <c r="BA154" s="593"/>
      <c r="BB154" s="393"/>
      <c r="BC154" s="393"/>
      <c r="BD154" s="393"/>
      <c r="BE154" s="393"/>
      <c r="BF154" s="391"/>
      <c r="BG154" s="391"/>
      <c r="BH154" s="391"/>
      <c r="BI154" s="393"/>
      <c r="BJ154" s="393"/>
      <c r="BK154" s="393"/>
      <c r="BL154" s="393"/>
      <c r="BM154" s="593"/>
      <c r="BN154" s="593"/>
      <c r="BO154" s="593"/>
      <c r="BP154" s="393"/>
      <c r="BQ154" s="393"/>
      <c r="BR154" s="393"/>
      <c r="BS154" s="393"/>
      <c r="BT154" s="391"/>
    </row>
    <row r="155" spans="2:72" s="324" customFormat="1" ht="12" customHeight="1">
      <c r="B155" s="672"/>
      <c r="C155" s="759"/>
      <c r="D155" s="742"/>
      <c r="E155" s="739"/>
      <c r="F155" s="739"/>
      <c r="G155" s="740"/>
      <c r="H155" s="687"/>
      <c r="I155" s="687"/>
      <c r="J155" s="687"/>
      <c r="K155" s="687"/>
      <c r="L155" s="588"/>
      <c r="M155" s="588"/>
      <c r="O155" s="760"/>
      <c r="P155" s="760"/>
      <c r="R155" s="759"/>
      <c r="S155" s="738"/>
      <c r="T155" s="739"/>
      <c r="U155" s="685"/>
      <c r="V155" s="685"/>
      <c r="W155" s="579"/>
      <c r="X155" s="579"/>
      <c r="Y155" s="579"/>
      <c r="Z155" s="579"/>
      <c r="AA155" s="588"/>
      <c r="AB155" s="588"/>
      <c r="AC155" s="588"/>
      <c r="AD155" s="51"/>
      <c r="AE155" s="688"/>
      <c r="AF155" s="688"/>
      <c r="AG155" s="688"/>
      <c r="AI155" s="570"/>
      <c r="AJ155" s="589"/>
      <c r="AK155" s="391"/>
      <c r="AL155" s="391"/>
      <c r="AM155" s="391"/>
      <c r="AN155" s="391"/>
      <c r="AO155" s="579"/>
      <c r="AP155" s="579"/>
      <c r="AQ155" s="579"/>
      <c r="AR155" s="579"/>
      <c r="AS155" s="588"/>
      <c r="AT155" s="391"/>
      <c r="AU155" s="589"/>
      <c r="AV155" s="391"/>
      <c r="AW155" s="393"/>
      <c r="AX155" s="393"/>
      <c r="AY155" s="393"/>
      <c r="AZ155" s="393"/>
      <c r="BA155" s="593"/>
      <c r="BB155" s="393"/>
      <c r="BC155" s="393"/>
      <c r="BD155" s="393"/>
      <c r="BE155" s="393"/>
      <c r="BF155" s="391"/>
      <c r="BG155" s="391"/>
      <c r="BH155" s="391"/>
      <c r="BI155" s="393"/>
      <c r="BJ155" s="393"/>
      <c r="BK155" s="393"/>
      <c r="BL155" s="393"/>
      <c r="BM155" s="593"/>
      <c r="BN155" s="593"/>
      <c r="BO155" s="593"/>
      <c r="BP155" s="393"/>
      <c r="BQ155" s="393"/>
      <c r="BR155" s="393"/>
      <c r="BS155" s="393"/>
      <c r="BT155" s="391"/>
    </row>
    <row r="156" spans="2:72" s="324" customFormat="1" ht="12" customHeight="1">
      <c r="B156" s="672"/>
      <c r="C156" s="759"/>
      <c r="D156" s="742"/>
      <c r="E156" s="739"/>
      <c r="F156" s="739"/>
      <c r="G156" s="740"/>
      <c r="H156" s="680"/>
      <c r="I156" s="680"/>
      <c r="J156" s="680"/>
      <c r="K156" s="680"/>
      <c r="L156" s="588"/>
      <c r="M156" s="588"/>
      <c r="O156" s="760"/>
      <c r="P156" s="760"/>
      <c r="R156" s="759"/>
      <c r="S156" s="738"/>
      <c r="T156" s="739"/>
      <c r="U156" s="685"/>
      <c r="V156" s="685"/>
      <c r="W156" s="579"/>
      <c r="X156" s="579"/>
      <c r="Y156" s="579"/>
      <c r="Z156" s="579"/>
      <c r="AA156" s="588"/>
      <c r="AB156" s="588"/>
      <c r="AC156" s="588"/>
      <c r="AD156" s="51"/>
      <c r="AE156" s="688"/>
      <c r="AF156" s="688"/>
      <c r="AG156" s="688"/>
      <c r="AI156" s="570"/>
      <c r="AJ156" s="589"/>
      <c r="AK156" s="391"/>
      <c r="AL156" s="391"/>
      <c r="AM156" s="391"/>
      <c r="AN156" s="391"/>
      <c r="AO156" s="579"/>
      <c r="AP156" s="579"/>
      <c r="AQ156" s="579"/>
      <c r="AR156" s="579"/>
      <c r="AS156" s="588"/>
      <c r="AT156" s="391"/>
      <c r="AU156" s="589"/>
      <c r="AV156" s="391"/>
      <c r="AW156" s="393"/>
      <c r="AX156" s="393"/>
      <c r="AY156" s="393"/>
      <c r="AZ156" s="393"/>
      <c r="BA156" s="593"/>
      <c r="BB156" s="393"/>
      <c r="BC156" s="393"/>
      <c r="BD156" s="393"/>
      <c r="BE156" s="393"/>
      <c r="BF156" s="391"/>
      <c r="BG156" s="391"/>
      <c r="BH156" s="391"/>
      <c r="BI156" s="393"/>
      <c r="BJ156" s="393"/>
      <c r="BK156" s="393"/>
      <c r="BL156" s="393"/>
      <c r="BM156" s="593"/>
      <c r="BN156" s="593"/>
      <c r="BO156" s="593"/>
      <c r="BP156" s="393"/>
      <c r="BQ156" s="393"/>
      <c r="BR156" s="393"/>
      <c r="BS156" s="393"/>
      <c r="BT156" s="391"/>
    </row>
    <row r="157" spans="2:72" s="324" customFormat="1" ht="12" customHeight="1">
      <c r="B157" s="672"/>
      <c r="C157" s="759"/>
      <c r="D157" s="742"/>
      <c r="E157" s="739"/>
      <c r="F157" s="739"/>
      <c r="G157" s="740"/>
      <c r="H157" s="680"/>
      <c r="I157" s="680"/>
      <c r="J157" s="680"/>
      <c r="K157" s="680"/>
      <c r="L157" s="588"/>
      <c r="M157" s="588"/>
      <c r="R157" s="759"/>
      <c r="S157" s="738"/>
      <c r="T157" s="739"/>
      <c r="U157" s="685"/>
      <c r="V157" s="685"/>
      <c r="W157" s="590"/>
      <c r="X157" s="590"/>
      <c r="Y157" s="590"/>
      <c r="Z157" s="590"/>
      <c r="AA157" s="588"/>
      <c r="AB157" s="588"/>
      <c r="AC157" s="588"/>
      <c r="AD157" s="51"/>
      <c r="AE157" s="688"/>
      <c r="AF157" s="688"/>
      <c r="AG157" s="688"/>
      <c r="AI157" s="570"/>
      <c r="AJ157" s="589"/>
      <c r="AK157" s="391"/>
      <c r="AL157" s="391"/>
      <c r="AM157" s="391"/>
      <c r="AN157" s="391"/>
      <c r="AO157" s="590"/>
      <c r="AP157" s="590"/>
      <c r="AQ157" s="590"/>
      <c r="AR157" s="590"/>
      <c r="AS157" s="588"/>
      <c r="AT157" s="391"/>
      <c r="AU157" s="589"/>
      <c r="AV157" s="391"/>
      <c r="AW157" s="393"/>
      <c r="AX157" s="391"/>
      <c r="AY157" s="391"/>
      <c r="AZ157" s="391"/>
      <c r="BA157" s="391"/>
      <c r="BB157" s="391"/>
      <c r="BC157" s="391"/>
      <c r="BD157" s="391"/>
      <c r="BE157" s="391"/>
      <c r="BF157" s="391"/>
      <c r="BG157" s="391"/>
      <c r="BH157" s="391"/>
      <c r="BI157" s="391"/>
      <c r="BJ157" s="391"/>
      <c r="BK157" s="391"/>
      <c r="BL157" s="391"/>
      <c r="BM157" s="391"/>
      <c r="BN157" s="391"/>
      <c r="BO157" s="391"/>
      <c r="BP157" s="391"/>
      <c r="BQ157" s="391"/>
      <c r="BR157" s="570"/>
      <c r="BS157" s="570"/>
      <c r="BT157" s="570"/>
    </row>
    <row r="158" spans="2:72" s="324" customFormat="1" ht="12" customHeight="1">
      <c r="B158" s="672"/>
      <c r="C158" s="761"/>
      <c r="D158" s="742"/>
      <c r="E158" s="739"/>
      <c r="F158" s="739"/>
      <c r="G158" s="740"/>
      <c r="H158" s="680"/>
      <c r="I158" s="680"/>
      <c r="J158" s="680"/>
      <c r="K158" s="680"/>
      <c r="L158" s="588"/>
      <c r="M158" s="588"/>
      <c r="R158" s="761"/>
      <c r="S158" s="738"/>
      <c r="T158" s="739"/>
      <c r="U158" s="685"/>
      <c r="V158" s="685"/>
      <c r="W158" s="579"/>
      <c r="X158" s="579"/>
      <c r="Y158" s="579"/>
      <c r="Z158" s="579"/>
      <c r="AA158" s="588"/>
      <c r="AB158" s="588"/>
      <c r="AC158" s="588"/>
      <c r="AD158" s="51"/>
      <c r="AE158" s="688"/>
      <c r="AF158" s="688"/>
      <c r="AG158" s="688"/>
      <c r="AI158" s="570"/>
      <c r="AJ158" s="589"/>
      <c r="AK158" s="391"/>
      <c r="AL158" s="391"/>
      <c r="AM158" s="391"/>
      <c r="AN158" s="391"/>
      <c r="AO158" s="579"/>
      <c r="AP158" s="579"/>
      <c r="AQ158" s="579"/>
      <c r="AR158" s="579"/>
      <c r="AS158" s="588"/>
      <c r="AT158" s="391"/>
      <c r="AU158" s="589"/>
      <c r="AV158" s="391"/>
      <c r="AW158" s="393"/>
      <c r="AX158" s="393"/>
      <c r="AY158" s="393"/>
      <c r="AZ158" s="393"/>
      <c r="BA158" s="391"/>
      <c r="BB158" s="585"/>
      <c r="BC158" s="585"/>
      <c r="BD158" s="585"/>
      <c r="BE158" s="585"/>
      <c r="BF158" s="391"/>
      <c r="BG158" s="391"/>
      <c r="BH158" s="391"/>
      <c r="BI158" s="391"/>
      <c r="BJ158" s="391"/>
      <c r="BK158" s="391"/>
      <c r="BL158" s="391"/>
      <c r="BM158" s="391"/>
      <c r="BN158" s="391"/>
      <c r="BO158" s="391"/>
      <c r="BP158" s="391"/>
      <c r="BQ158" s="391"/>
      <c r="BR158" s="570"/>
      <c r="BS158" s="570"/>
      <c r="BT158" s="570"/>
    </row>
    <row r="159" spans="2:72" s="324" customFormat="1" ht="12" customHeight="1">
      <c r="B159" s="672"/>
      <c r="C159" s="761"/>
      <c r="D159" s="742"/>
      <c r="E159" s="739"/>
      <c r="F159" s="739"/>
      <c r="G159" s="740"/>
      <c r="H159" s="680"/>
      <c r="I159" s="680"/>
      <c r="J159" s="680"/>
      <c r="K159" s="680"/>
      <c r="L159" s="588"/>
      <c r="M159" s="588"/>
      <c r="R159" s="761"/>
      <c r="S159" s="738"/>
      <c r="T159" s="739"/>
      <c r="U159" s="685"/>
      <c r="V159" s="685"/>
      <c r="W159" s="579"/>
      <c r="X159" s="579"/>
      <c r="Y159" s="579"/>
      <c r="Z159" s="579"/>
      <c r="AA159" s="588"/>
      <c r="AB159" s="588"/>
      <c r="AC159" s="588"/>
      <c r="AD159" s="51"/>
      <c r="AE159" s="688"/>
      <c r="AF159" s="688"/>
      <c r="AG159" s="688"/>
      <c r="AI159" s="570"/>
      <c r="AJ159" s="589"/>
      <c r="AK159" s="391"/>
      <c r="AL159" s="391"/>
      <c r="AM159" s="391"/>
      <c r="AN159" s="391"/>
      <c r="AO159" s="579"/>
      <c r="AP159" s="579"/>
      <c r="AQ159" s="579"/>
      <c r="AR159" s="579"/>
      <c r="AS159" s="588"/>
      <c r="AT159" s="391"/>
      <c r="AU159" s="589"/>
      <c r="AV159" s="391"/>
      <c r="AW159" s="393"/>
      <c r="AX159" s="393"/>
      <c r="AY159" s="393"/>
      <c r="AZ159" s="393"/>
      <c r="BA159" s="391"/>
      <c r="BB159" s="585"/>
      <c r="BC159" s="585"/>
      <c r="BD159" s="585"/>
      <c r="BE159" s="585"/>
      <c r="BF159" s="391"/>
      <c r="BG159" s="391"/>
      <c r="BH159" s="391"/>
      <c r="BI159" s="391"/>
      <c r="BJ159" s="391"/>
      <c r="BK159" s="391"/>
      <c r="BL159" s="391"/>
      <c r="BM159" s="391"/>
      <c r="BN159" s="391"/>
      <c r="BO159" s="391"/>
      <c r="BP159" s="391"/>
      <c r="BQ159" s="391"/>
      <c r="BR159" s="570"/>
      <c r="BS159" s="570"/>
      <c r="BT159" s="570"/>
    </row>
    <row r="160" spans="2:72" s="324" customFormat="1" ht="12" customHeight="1">
      <c r="B160" s="672"/>
      <c r="C160" s="761"/>
      <c r="D160" s="742"/>
      <c r="E160" s="739"/>
      <c r="F160" s="739"/>
      <c r="G160" s="740"/>
      <c r="H160" s="680"/>
      <c r="I160" s="680"/>
      <c r="J160" s="680"/>
      <c r="K160" s="680"/>
      <c r="L160" s="588"/>
      <c r="M160" s="588"/>
      <c r="R160" s="761"/>
      <c r="S160" s="738"/>
      <c r="T160" s="739"/>
      <c r="U160" s="685"/>
      <c r="V160" s="685"/>
      <c r="W160" s="579"/>
      <c r="X160" s="579"/>
      <c r="Y160" s="579"/>
      <c r="Z160" s="579"/>
      <c r="AA160" s="588"/>
      <c r="AB160" s="588"/>
      <c r="AC160" s="588"/>
      <c r="AE160" s="691"/>
      <c r="AG160" s="690"/>
      <c r="AI160" s="570"/>
      <c r="AJ160" s="589"/>
      <c r="AK160" s="391"/>
      <c r="AL160" s="391"/>
      <c r="AM160" s="391"/>
      <c r="AN160" s="391"/>
      <c r="AO160" s="579"/>
      <c r="AP160" s="579"/>
      <c r="AQ160" s="579"/>
      <c r="AR160" s="579"/>
      <c r="AS160" s="588"/>
      <c r="AT160" s="391"/>
      <c r="AU160" s="589"/>
      <c r="AV160" s="391"/>
      <c r="AW160" s="393"/>
      <c r="AX160" s="393"/>
      <c r="AY160" s="393"/>
      <c r="AZ160" s="393"/>
      <c r="BA160" s="391"/>
      <c r="BB160" s="585"/>
      <c r="BC160" s="585"/>
      <c r="BD160" s="585"/>
      <c r="BE160" s="585"/>
      <c r="BF160" s="391"/>
      <c r="BG160" s="391"/>
      <c r="BH160" s="391"/>
      <c r="BI160" s="391"/>
      <c r="BJ160" s="391"/>
      <c r="BK160" s="391"/>
      <c r="BL160" s="391"/>
      <c r="BM160" s="391"/>
      <c r="BN160" s="391"/>
      <c r="BO160" s="391"/>
      <c r="BP160" s="391"/>
      <c r="BQ160" s="391"/>
      <c r="BR160" s="570"/>
      <c r="BS160" s="570"/>
      <c r="BT160" s="570"/>
    </row>
    <row r="161" spans="2:72" s="324" customFormat="1" ht="12" customHeight="1">
      <c r="B161" s="652"/>
      <c r="C161" s="763"/>
      <c r="D161" s="742"/>
      <c r="E161" s="739"/>
      <c r="F161" s="739"/>
      <c r="G161" s="740"/>
      <c r="H161" s="680"/>
      <c r="I161" s="680"/>
      <c r="J161" s="680"/>
      <c r="K161" s="680"/>
      <c r="L161" s="588"/>
      <c r="M161" s="588"/>
      <c r="R161" s="763"/>
      <c r="S161" s="738"/>
      <c r="T161" s="739"/>
      <c r="U161" s="685"/>
      <c r="V161" s="685"/>
      <c r="W161" s="579"/>
      <c r="X161" s="579"/>
      <c r="Y161" s="579"/>
      <c r="Z161" s="579"/>
      <c r="AA161" s="588"/>
      <c r="AB161" s="588"/>
      <c r="AC161" s="588"/>
      <c r="AD161" s="51"/>
      <c r="AE161" s="764"/>
      <c r="AF161" s="764"/>
      <c r="AG161" s="693"/>
      <c r="AI161" s="570"/>
      <c r="AJ161" s="589"/>
      <c r="AK161" s="391"/>
      <c r="AL161" s="391"/>
      <c r="AM161" s="391"/>
      <c r="AN161" s="391"/>
      <c r="AO161" s="579"/>
      <c r="AP161" s="579"/>
      <c r="AQ161" s="579"/>
      <c r="AR161" s="579"/>
      <c r="AS161" s="588"/>
      <c r="AT161" s="391"/>
      <c r="AU161" s="589"/>
      <c r="AV161" s="391"/>
      <c r="AW161" s="393"/>
      <c r="AX161" s="393"/>
      <c r="AY161" s="393"/>
      <c r="AZ161" s="393"/>
      <c r="BA161" s="391"/>
      <c r="BB161" s="585"/>
      <c r="BC161" s="585"/>
      <c r="BD161" s="585"/>
      <c r="BE161" s="585"/>
      <c r="BF161" s="391"/>
      <c r="BG161" s="391"/>
      <c r="BH161" s="391"/>
      <c r="BI161" s="391"/>
      <c r="BJ161" s="391"/>
      <c r="BK161" s="391"/>
      <c r="BL161" s="391"/>
      <c r="BM161" s="391"/>
      <c r="BN161" s="391"/>
      <c r="BO161" s="391"/>
      <c r="BP161" s="391"/>
      <c r="BQ161" s="391"/>
      <c r="BR161" s="570"/>
      <c r="BS161" s="570"/>
      <c r="BT161" s="570"/>
    </row>
    <row r="162" spans="2:72" s="324" customFormat="1" ht="12" customHeight="1">
      <c r="B162" s="672"/>
      <c r="C162" s="763"/>
      <c r="D162" s="742"/>
      <c r="E162" s="739"/>
      <c r="F162" s="739"/>
      <c r="G162" s="740"/>
      <c r="H162" s="680"/>
      <c r="I162" s="680"/>
      <c r="J162" s="680"/>
      <c r="K162" s="680"/>
      <c r="L162" s="588"/>
      <c r="M162" s="588"/>
      <c r="R162" s="763"/>
      <c r="S162" s="738"/>
      <c r="T162" s="739"/>
      <c r="U162" s="685"/>
      <c r="V162" s="685"/>
      <c r="W162" s="579"/>
      <c r="X162" s="579"/>
      <c r="Y162" s="579"/>
      <c r="Z162" s="579"/>
      <c r="AA162" s="588"/>
      <c r="AB162" s="588"/>
      <c r="AC162" s="588"/>
      <c r="AD162" s="51"/>
      <c r="AE162" s="694"/>
      <c r="AF162" s="694"/>
      <c r="AG162" s="694"/>
      <c r="AI162" s="570"/>
      <c r="AJ162" s="589"/>
      <c r="AK162" s="391"/>
      <c r="AL162" s="391"/>
      <c r="AM162" s="391"/>
      <c r="AN162" s="391"/>
      <c r="AO162" s="579"/>
      <c r="AP162" s="579"/>
      <c r="AQ162" s="579"/>
      <c r="AR162" s="579"/>
      <c r="AS162" s="588"/>
      <c r="AT162" s="391"/>
      <c r="AU162" s="589"/>
      <c r="AV162" s="391"/>
      <c r="AW162" s="393"/>
      <c r="AX162" s="393"/>
      <c r="AY162" s="393"/>
      <c r="AZ162" s="393"/>
      <c r="BA162" s="391"/>
      <c r="BB162" s="585"/>
      <c r="BC162" s="585"/>
      <c r="BD162" s="585"/>
      <c r="BE162" s="585"/>
      <c r="BF162" s="391"/>
      <c r="BG162" s="391"/>
      <c r="BH162" s="391"/>
      <c r="BI162" s="391"/>
      <c r="BJ162" s="391"/>
      <c r="BK162" s="391"/>
      <c r="BL162" s="391"/>
      <c r="BM162" s="391"/>
      <c r="BN162" s="391"/>
      <c r="BO162" s="391"/>
      <c r="BP162" s="391"/>
      <c r="BQ162" s="391"/>
      <c r="BR162" s="570"/>
      <c r="BS162" s="570"/>
      <c r="BT162" s="570"/>
    </row>
    <row r="163" spans="2:72" s="324" customFormat="1" ht="12" customHeight="1">
      <c r="B163" s="672"/>
      <c r="C163" s="763"/>
      <c r="D163" s="742"/>
      <c r="E163" s="739"/>
      <c r="F163" s="739"/>
      <c r="G163" s="740"/>
      <c r="H163" s="680"/>
      <c r="I163" s="680"/>
      <c r="J163" s="680"/>
      <c r="K163" s="680"/>
      <c r="L163" s="588"/>
      <c r="M163" s="588"/>
      <c r="R163" s="763"/>
      <c r="S163" s="738"/>
      <c r="T163" s="739"/>
      <c r="U163" s="685"/>
      <c r="V163" s="685"/>
      <c r="W163" s="579"/>
      <c r="X163" s="579"/>
      <c r="Y163" s="579"/>
      <c r="Z163" s="579"/>
      <c r="AA163" s="588"/>
      <c r="AB163" s="588"/>
      <c r="AC163" s="588"/>
      <c r="AD163" s="51"/>
      <c r="AE163" s="695"/>
      <c r="AF163" s="695"/>
      <c r="AG163" s="695"/>
      <c r="AI163" s="570"/>
      <c r="AJ163" s="589"/>
      <c r="AK163" s="391"/>
      <c r="AL163" s="391"/>
      <c r="AM163" s="391"/>
      <c r="AN163" s="391"/>
      <c r="AO163" s="579"/>
      <c r="AP163" s="579"/>
      <c r="AQ163" s="579"/>
      <c r="AR163" s="579"/>
      <c r="AS163" s="588"/>
      <c r="AT163" s="391"/>
      <c r="AU163" s="589"/>
      <c r="AV163" s="391"/>
      <c r="AW163" s="393"/>
      <c r="AX163" s="393"/>
      <c r="AY163" s="393"/>
      <c r="AZ163" s="393"/>
      <c r="BA163" s="391"/>
      <c r="BB163" s="585"/>
      <c r="BC163" s="585"/>
      <c r="BD163" s="585"/>
      <c r="BE163" s="585"/>
      <c r="BF163" s="391"/>
      <c r="BG163" s="391"/>
      <c r="BH163" s="391"/>
      <c r="BI163" s="391"/>
      <c r="BJ163" s="391"/>
      <c r="BK163" s="391"/>
      <c r="BL163" s="391"/>
      <c r="BM163" s="391"/>
      <c r="BN163" s="391"/>
      <c r="BO163" s="391"/>
      <c r="BP163" s="391"/>
      <c r="BQ163" s="391"/>
      <c r="BR163" s="570"/>
      <c r="BS163" s="570"/>
      <c r="BT163" s="570"/>
    </row>
    <row r="164" spans="2:72" s="324" customFormat="1" ht="12" customHeight="1">
      <c r="B164" s="672"/>
      <c r="C164" s="763"/>
      <c r="D164" s="738"/>
      <c r="E164" s="739"/>
      <c r="F164" s="739"/>
      <c r="G164" s="739"/>
      <c r="H164" s="579"/>
      <c r="I164" s="579"/>
      <c r="J164" s="680"/>
      <c r="K164" s="680"/>
      <c r="L164" s="588"/>
      <c r="M164" s="588"/>
      <c r="R164" s="763"/>
      <c r="S164" s="738"/>
      <c r="T164" s="739"/>
      <c r="U164" s="685"/>
      <c r="V164" s="685"/>
      <c r="W164" s="590"/>
      <c r="X164" s="590"/>
      <c r="Y164" s="579"/>
      <c r="Z164" s="579"/>
      <c r="AA164" s="588"/>
      <c r="AB164" s="588"/>
      <c r="AC164" s="588"/>
      <c r="AD164" s="51"/>
      <c r="AE164" s="695"/>
      <c r="AF164" s="695"/>
      <c r="AG164" s="695"/>
      <c r="AI164" s="570"/>
      <c r="AJ164" s="589"/>
      <c r="AK164" s="391"/>
      <c r="AL164" s="391"/>
      <c r="AM164" s="391"/>
      <c r="AN164" s="391"/>
      <c r="AO164" s="579"/>
      <c r="AP164" s="579"/>
      <c r="AQ164" s="579"/>
      <c r="AR164" s="579"/>
      <c r="AS164" s="588"/>
      <c r="AT164" s="391"/>
      <c r="AU164" s="589"/>
      <c r="AV164" s="391"/>
      <c r="AW164" s="393"/>
      <c r="AX164" s="393"/>
      <c r="AY164" s="393"/>
      <c r="AZ164" s="393"/>
      <c r="BA164" s="391"/>
      <c r="BB164" s="585"/>
      <c r="BC164" s="585"/>
      <c r="BD164" s="585"/>
      <c r="BE164" s="585"/>
      <c r="BF164" s="391"/>
      <c r="BG164" s="391"/>
      <c r="BH164" s="391"/>
      <c r="BI164" s="391"/>
      <c r="BJ164" s="391"/>
      <c r="BK164" s="391"/>
      <c r="BL164" s="391"/>
      <c r="BM164" s="391"/>
      <c r="BN164" s="391"/>
      <c r="BO164" s="391"/>
      <c r="BP164" s="391"/>
      <c r="BQ164" s="391"/>
      <c r="BR164" s="570"/>
      <c r="BS164" s="570"/>
      <c r="BT164" s="570"/>
    </row>
    <row r="165" spans="2:72" s="324" customFormat="1" ht="12" customHeight="1">
      <c r="B165" s="674"/>
      <c r="C165" s="763"/>
      <c r="D165" s="738"/>
      <c r="E165" s="739"/>
      <c r="F165" s="739"/>
      <c r="G165" s="739"/>
      <c r="H165" s="579"/>
      <c r="I165" s="579"/>
      <c r="J165" s="680"/>
      <c r="K165" s="680"/>
      <c r="L165" s="588"/>
      <c r="M165" s="588"/>
      <c r="R165" s="763"/>
      <c r="S165" s="738"/>
      <c r="T165" s="739"/>
      <c r="U165" s="685"/>
      <c r="V165" s="685"/>
      <c r="W165" s="590"/>
      <c r="X165" s="590"/>
      <c r="Y165" s="579"/>
      <c r="Z165" s="579"/>
      <c r="AA165" s="588"/>
      <c r="AB165" s="588"/>
      <c r="AC165" s="588"/>
      <c r="AD165" s="51"/>
      <c r="AE165" s="695"/>
      <c r="AF165" s="695"/>
      <c r="AG165" s="695"/>
      <c r="AI165" s="570"/>
      <c r="AJ165" s="589"/>
      <c r="AK165" s="391"/>
      <c r="AL165" s="391"/>
      <c r="AM165" s="391"/>
      <c r="AN165" s="391"/>
      <c r="AO165" s="579"/>
      <c r="AP165" s="579"/>
      <c r="AQ165" s="579"/>
      <c r="AR165" s="579"/>
      <c r="AS165" s="588"/>
      <c r="AT165" s="391"/>
      <c r="AU165" s="589"/>
      <c r="AV165" s="391"/>
      <c r="AW165" s="393"/>
      <c r="AX165" s="393"/>
      <c r="AY165" s="393"/>
      <c r="AZ165" s="393"/>
      <c r="BA165" s="391"/>
      <c r="BB165" s="585"/>
      <c r="BC165" s="585"/>
      <c r="BD165" s="585"/>
      <c r="BE165" s="585"/>
      <c r="BF165" s="391"/>
      <c r="BG165" s="391"/>
      <c r="BH165" s="391"/>
      <c r="BI165" s="391"/>
      <c r="BJ165" s="391"/>
      <c r="BK165" s="391"/>
      <c r="BL165" s="391"/>
      <c r="BM165" s="391"/>
      <c r="BN165" s="391"/>
      <c r="BO165" s="391"/>
      <c r="BP165" s="391"/>
      <c r="BQ165" s="391"/>
      <c r="BR165" s="570"/>
      <c r="BS165" s="570"/>
      <c r="BT165" s="570"/>
    </row>
    <row r="166" spans="2:72" s="324" customFormat="1" ht="12" customHeight="1">
      <c r="B166" s="652"/>
      <c r="C166" s="765"/>
      <c r="D166" s="742"/>
      <c r="E166" s="739"/>
      <c r="F166" s="739"/>
      <c r="G166" s="740"/>
      <c r="H166" s="680"/>
      <c r="I166" s="680"/>
      <c r="J166" s="680"/>
      <c r="K166" s="680"/>
      <c r="L166" s="588"/>
      <c r="M166" s="588"/>
      <c r="R166" s="765"/>
      <c r="S166" s="738"/>
      <c r="T166" s="739"/>
      <c r="U166" s="685"/>
      <c r="V166" s="685"/>
      <c r="W166" s="741"/>
      <c r="X166" s="741"/>
      <c r="Y166" s="741"/>
      <c r="Z166" s="741"/>
      <c r="AA166" s="588"/>
      <c r="AB166" s="588"/>
      <c r="AC166" s="588"/>
      <c r="AD166" s="51"/>
      <c r="AE166" s="696"/>
      <c r="AF166" s="696"/>
      <c r="AG166" s="696"/>
      <c r="AI166" s="570"/>
      <c r="AJ166" s="589"/>
      <c r="AK166" s="391"/>
      <c r="AL166" s="391"/>
      <c r="AM166" s="391"/>
      <c r="AN166" s="391"/>
      <c r="AO166" s="579"/>
      <c r="AP166" s="579"/>
      <c r="AQ166" s="579"/>
      <c r="AR166" s="579"/>
      <c r="AS166" s="588"/>
      <c r="AT166" s="391"/>
      <c r="AU166" s="589"/>
      <c r="AV166" s="391"/>
      <c r="AW166" s="393"/>
      <c r="AX166" s="393"/>
      <c r="AY166" s="393"/>
      <c r="AZ166" s="393"/>
      <c r="BA166" s="391"/>
      <c r="BB166" s="585"/>
      <c r="BC166" s="585"/>
      <c r="BD166" s="585"/>
      <c r="BE166" s="585"/>
      <c r="BF166" s="391"/>
      <c r="BG166" s="391"/>
      <c r="BH166" s="391"/>
      <c r="BI166" s="391"/>
      <c r="BJ166" s="391"/>
      <c r="BK166" s="391"/>
      <c r="BL166" s="391"/>
      <c r="BM166" s="391"/>
      <c r="BN166" s="391"/>
      <c r="BO166" s="391"/>
      <c r="BP166" s="391"/>
      <c r="BQ166" s="391"/>
      <c r="BR166" s="570"/>
      <c r="BS166" s="570"/>
      <c r="BT166" s="570"/>
    </row>
    <row r="167" spans="2:72" s="324" customFormat="1" ht="12" customHeight="1">
      <c r="B167" s="672"/>
      <c r="C167" s="765"/>
      <c r="D167" s="742"/>
      <c r="E167" s="739"/>
      <c r="F167" s="739"/>
      <c r="G167" s="740"/>
      <c r="H167" s="680"/>
      <c r="I167" s="680"/>
      <c r="J167" s="680"/>
      <c r="K167" s="680"/>
      <c r="L167" s="588"/>
      <c r="M167" s="588"/>
      <c r="O167" s="760"/>
      <c r="P167" s="760"/>
      <c r="R167" s="765"/>
      <c r="S167" s="738"/>
      <c r="T167" s="739"/>
      <c r="U167" s="685"/>
      <c r="V167" s="685"/>
      <c r="W167" s="579"/>
      <c r="X167" s="579"/>
      <c r="Y167" s="579"/>
      <c r="Z167" s="579"/>
      <c r="AA167" s="588"/>
      <c r="AB167" s="588"/>
      <c r="AC167" s="588"/>
      <c r="AD167" s="51"/>
      <c r="AE167" s="696"/>
      <c r="AF167" s="696"/>
      <c r="AG167" s="696"/>
      <c r="AI167" s="570"/>
      <c r="AJ167" s="589"/>
      <c r="AK167" s="391"/>
      <c r="AL167" s="391"/>
      <c r="AM167" s="391"/>
      <c r="AN167" s="391"/>
      <c r="AO167" s="579"/>
      <c r="AP167" s="579"/>
      <c r="AQ167" s="579"/>
      <c r="AR167" s="579"/>
      <c r="AS167" s="588"/>
      <c r="AT167" s="391"/>
      <c r="AU167" s="589"/>
      <c r="AV167" s="391"/>
      <c r="AW167" s="393"/>
      <c r="AX167" s="393"/>
      <c r="AY167" s="393"/>
      <c r="AZ167" s="393"/>
      <c r="BA167" s="593"/>
      <c r="BB167" s="393"/>
      <c r="BC167" s="393"/>
      <c r="BD167" s="393"/>
      <c r="BE167" s="393"/>
      <c r="BF167" s="391"/>
      <c r="BG167" s="391"/>
      <c r="BH167" s="391"/>
      <c r="BI167" s="393"/>
      <c r="BJ167" s="393"/>
      <c r="BK167" s="393"/>
      <c r="BL167" s="393"/>
      <c r="BM167" s="593"/>
      <c r="BN167" s="593"/>
      <c r="BO167" s="593"/>
      <c r="BP167" s="393"/>
      <c r="BQ167" s="393"/>
      <c r="BR167" s="393"/>
      <c r="BS167" s="393"/>
      <c r="BT167" s="391"/>
    </row>
    <row r="168" spans="2:72" s="324" customFormat="1" ht="12" customHeight="1">
      <c r="B168" s="672"/>
      <c r="C168" s="765"/>
      <c r="D168" s="742"/>
      <c r="E168" s="739"/>
      <c r="F168" s="739"/>
      <c r="G168" s="740"/>
      <c r="H168" s="687"/>
      <c r="I168" s="687"/>
      <c r="J168" s="687"/>
      <c r="K168" s="687"/>
      <c r="L168" s="588"/>
      <c r="M168" s="588"/>
      <c r="O168" s="760"/>
      <c r="P168" s="760"/>
      <c r="R168" s="765"/>
      <c r="S168" s="738"/>
      <c r="T168" s="739"/>
      <c r="U168" s="685"/>
      <c r="V168" s="685"/>
      <c r="W168" s="579"/>
      <c r="X168" s="579"/>
      <c r="Y168" s="579"/>
      <c r="Z168" s="579"/>
      <c r="AA168" s="588"/>
      <c r="AB168" s="588"/>
      <c r="AC168" s="588"/>
      <c r="AE168" s="696"/>
      <c r="AF168" s="696"/>
      <c r="AG168" s="696"/>
      <c r="AI168" s="570"/>
      <c r="AJ168" s="589"/>
      <c r="AK168" s="391"/>
      <c r="AL168" s="391"/>
      <c r="AM168" s="391"/>
      <c r="AN168" s="391"/>
      <c r="AO168" s="579"/>
      <c r="AP168" s="579"/>
      <c r="AQ168" s="579"/>
      <c r="AR168" s="579"/>
      <c r="AS168" s="588"/>
      <c r="AT168" s="391"/>
      <c r="AU168" s="589"/>
      <c r="AV168" s="391"/>
      <c r="AW168" s="393"/>
      <c r="AX168" s="393"/>
      <c r="AY168" s="393"/>
      <c r="AZ168" s="393"/>
      <c r="BA168" s="593"/>
      <c r="BB168" s="393"/>
      <c r="BC168" s="393"/>
      <c r="BD168" s="393"/>
      <c r="BE168" s="393"/>
      <c r="BF168" s="391"/>
      <c r="BG168" s="391"/>
      <c r="BH168" s="391"/>
      <c r="BI168" s="393"/>
      <c r="BJ168" s="393"/>
      <c r="BK168" s="393"/>
      <c r="BL168" s="393"/>
      <c r="BM168" s="593"/>
      <c r="BN168" s="593"/>
      <c r="BO168" s="593"/>
      <c r="BP168" s="393"/>
      <c r="BQ168" s="393"/>
      <c r="BR168" s="393"/>
      <c r="BS168" s="393"/>
      <c r="BT168" s="391"/>
    </row>
    <row r="169" spans="2:72" s="324" customFormat="1" ht="12" customHeight="1">
      <c r="B169" s="672"/>
      <c r="C169" s="765"/>
      <c r="D169" s="742"/>
      <c r="E169" s="739"/>
      <c r="F169" s="739"/>
      <c r="G169" s="740"/>
      <c r="H169" s="680"/>
      <c r="I169" s="680"/>
      <c r="J169" s="680"/>
      <c r="K169" s="680"/>
      <c r="L169" s="588"/>
      <c r="M169" s="588"/>
      <c r="O169" s="760"/>
      <c r="P169" s="760"/>
      <c r="R169" s="765"/>
      <c r="S169" s="738"/>
      <c r="T169" s="739"/>
      <c r="U169" s="685"/>
      <c r="V169" s="685"/>
      <c r="W169" s="579"/>
      <c r="X169" s="579"/>
      <c r="Y169" s="579"/>
      <c r="Z169" s="579"/>
      <c r="AA169" s="588"/>
      <c r="AB169" s="588"/>
      <c r="AC169" s="588"/>
      <c r="AD169" s="51"/>
      <c r="AE169" s="698"/>
      <c r="AF169" s="698"/>
      <c r="AG169" s="698"/>
      <c r="AI169" s="570"/>
      <c r="AJ169" s="589"/>
      <c r="AK169" s="391"/>
      <c r="AL169" s="391"/>
      <c r="AM169" s="391"/>
      <c r="AN169" s="391"/>
      <c r="AO169" s="579"/>
      <c r="AP169" s="579"/>
      <c r="AQ169" s="579"/>
      <c r="AR169" s="579"/>
      <c r="AS169" s="588"/>
      <c r="AT169" s="391"/>
      <c r="AU169" s="589"/>
      <c r="AV169" s="391"/>
      <c r="AW169" s="393"/>
      <c r="AX169" s="393"/>
      <c r="AY169" s="393"/>
      <c r="AZ169" s="393"/>
      <c r="BA169" s="593"/>
      <c r="BB169" s="393"/>
      <c r="BC169" s="393"/>
      <c r="BD169" s="393"/>
      <c r="BE169" s="393"/>
      <c r="BF169" s="391"/>
      <c r="BG169" s="391"/>
      <c r="BH169" s="391"/>
      <c r="BI169" s="393"/>
      <c r="BJ169" s="393"/>
      <c r="BK169" s="393"/>
      <c r="BL169" s="393"/>
      <c r="BM169" s="593"/>
      <c r="BN169" s="593"/>
      <c r="BO169" s="593"/>
      <c r="BP169" s="393"/>
      <c r="BQ169" s="393"/>
      <c r="BR169" s="393"/>
      <c r="BS169" s="393"/>
      <c r="BT169" s="391"/>
    </row>
    <row r="170" spans="2:72" s="324" customFormat="1" ht="12" customHeight="1">
      <c r="B170" s="674"/>
      <c r="C170" s="765"/>
      <c r="D170" s="742"/>
      <c r="E170" s="739"/>
      <c r="F170" s="739"/>
      <c r="G170" s="740"/>
      <c r="H170" s="680"/>
      <c r="I170" s="680"/>
      <c r="J170" s="680"/>
      <c r="K170" s="680"/>
      <c r="L170" s="588"/>
      <c r="M170" s="588"/>
      <c r="O170" s="760"/>
      <c r="P170" s="760"/>
      <c r="R170" s="765"/>
      <c r="S170" s="738"/>
      <c r="T170" s="739"/>
      <c r="U170" s="685"/>
      <c r="V170" s="685"/>
      <c r="W170" s="579"/>
      <c r="X170" s="579"/>
      <c r="Y170" s="579"/>
      <c r="Z170" s="579"/>
      <c r="AA170" s="588"/>
      <c r="AB170" s="588"/>
      <c r="AC170" s="588"/>
      <c r="AD170" s="51"/>
      <c r="AI170" s="570"/>
      <c r="AJ170" s="589"/>
      <c r="AK170" s="391"/>
      <c r="AL170" s="391"/>
      <c r="AM170" s="391"/>
      <c r="AN170" s="391"/>
      <c r="AO170" s="579"/>
      <c r="AP170" s="579"/>
      <c r="AQ170" s="579"/>
      <c r="AR170" s="579"/>
      <c r="AS170" s="588"/>
      <c r="AT170" s="391"/>
      <c r="AU170" s="589"/>
      <c r="AV170" s="391"/>
      <c r="AW170" s="393"/>
      <c r="AX170" s="393"/>
      <c r="AY170" s="393"/>
      <c r="AZ170" s="393"/>
      <c r="BA170" s="593"/>
      <c r="BB170" s="393"/>
      <c r="BC170" s="393"/>
      <c r="BD170" s="393"/>
      <c r="BE170" s="393"/>
      <c r="BF170" s="391"/>
      <c r="BG170" s="391"/>
      <c r="BH170" s="391"/>
      <c r="BI170" s="393"/>
      <c r="BJ170" s="393"/>
      <c r="BK170" s="393"/>
      <c r="BL170" s="393"/>
      <c r="BM170" s="593"/>
      <c r="BN170" s="593"/>
      <c r="BO170" s="593"/>
      <c r="BP170" s="393"/>
      <c r="BQ170" s="393"/>
      <c r="BR170" s="393"/>
      <c r="BS170" s="393"/>
      <c r="BT170" s="391"/>
    </row>
    <row r="171" spans="2:72" s="324" customFormat="1" ht="12" customHeight="1">
      <c r="B171" s="672"/>
      <c r="C171" s="766"/>
      <c r="D171" s="742"/>
      <c r="E171" s="739"/>
      <c r="F171" s="740"/>
      <c r="G171" s="740"/>
      <c r="H171" s="680"/>
      <c r="I171" s="680"/>
      <c r="J171" s="680"/>
      <c r="K171" s="680"/>
      <c r="L171" s="588"/>
      <c r="M171" s="588"/>
      <c r="R171" s="766"/>
      <c r="S171" s="738"/>
      <c r="T171" s="739"/>
      <c r="U171" s="685"/>
      <c r="V171" s="685"/>
      <c r="W171" s="579"/>
      <c r="X171" s="579"/>
      <c r="Y171" s="579"/>
      <c r="Z171" s="579"/>
      <c r="AA171" s="588"/>
      <c r="AB171" s="588"/>
      <c r="AC171" s="588"/>
      <c r="AD171" s="51"/>
      <c r="AE171" s="774"/>
      <c r="AF171" s="774"/>
      <c r="AG171" s="774"/>
      <c r="AH171" s="774"/>
      <c r="AI171" s="570"/>
      <c r="AJ171" s="589"/>
      <c r="AK171" s="391"/>
      <c r="AL171" s="391"/>
      <c r="AM171" s="391"/>
      <c r="AN171" s="391"/>
      <c r="AO171" s="579"/>
      <c r="AP171" s="579"/>
      <c r="AQ171" s="579"/>
      <c r="AR171" s="579"/>
      <c r="AS171" s="588"/>
      <c r="AT171" s="391"/>
      <c r="AU171" s="589"/>
      <c r="AV171" s="391"/>
      <c r="AW171" s="391"/>
      <c r="AX171" s="391"/>
      <c r="AY171" s="391"/>
      <c r="AZ171" s="391"/>
      <c r="BA171" s="391"/>
      <c r="BB171" s="585"/>
      <c r="BC171" s="585"/>
      <c r="BD171" s="585"/>
      <c r="BE171" s="585"/>
      <c r="BF171" s="391"/>
      <c r="BG171" s="391"/>
      <c r="BH171" s="391"/>
      <c r="BI171" s="391"/>
      <c r="BJ171" s="391"/>
      <c r="BK171" s="391"/>
      <c r="BL171" s="391"/>
      <c r="BM171" s="391"/>
      <c r="BN171" s="391"/>
      <c r="BO171" s="391"/>
      <c r="BP171" s="391"/>
      <c r="BQ171" s="391"/>
      <c r="BR171" s="570"/>
      <c r="BS171" s="570"/>
      <c r="BT171" s="570"/>
    </row>
    <row r="172" spans="2:72" s="324" customFormat="1" ht="12" customHeight="1">
      <c r="B172" s="672"/>
      <c r="C172" s="766"/>
      <c r="D172" s="742"/>
      <c r="E172" s="739"/>
      <c r="F172" s="740"/>
      <c r="G172" s="740"/>
      <c r="H172" s="680"/>
      <c r="I172" s="680"/>
      <c r="J172" s="680"/>
      <c r="K172" s="680"/>
      <c r="L172" s="588"/>
      <c r="M172" s="588"/>
      <c r="R172" s="766"/>
      <c r="S172" s="738"/>
      <c r="T172" s="739"/>
      <c r="U172" s="685"/>
      <c r="V172" s="685"/>
      <c r="W172" s="579"/>
      <c r="X172" s="579"/>
      <c r="Y172" s="579"/>
      <c r="Z172" s="579"/>
      <c r="AA172" s="588"/>
      <c r="AB172" s="588"/>
      <c r="AC172" s="588"/>
      <c r="AD172" s="51"/>
      <c r="AE172" s="774"/>
      <c r="AF172" s="774"/>
      <c r="AG172" s="774"/>
      <c r="AH172" s="774"/>
      <c r="AI172" s="570"/>
      <c r="AJ172" s="589"/>
      <c r="AK172" s="391"/>
      <c r="AL172" s="391"/>
      <c r="AM172" s="391"/>
      <c r="AN172" s="391"/>
      <c r="AO172" s="579"/>
      <c r="AP172" s="579"/>
      <c r="AQ172" s="579"/>
      <c r="AR172" s="579"/>
      <c r="AS172" s="588"/>
      <c r="AT172" s="391"/>
      <c r="AU172" s="589"/>
      <c r="AV172" s="391"/>
      <c r="AW172" s="391"/>
      <c r="AX172" s="391"/>
      <c r="AY172" s="391"/>
      <c r="AZ172" s="391"/>
      <c r="BA172" s="391"/>
      <c r="BB172" s="585"/>
      <c r="BC172" s="585"/>
      <c r="BD172" s="585"/>
      <c r="BE172" s="585"/>
      <c r="BF172" s="391"/>
      <c r="BG172" s="391"/>
      <c r="BH172" s="391"/>
      <c r="BI172" s="391"/>
      <c r="BJ172" s="391"/>
      <c r="BK172" s="391"/>
      <c r="BL172" s="391"/>
      <c r="BM172" s="391"/>
      <c r="BN172" s="391"/>
      <c r="BO172" s="391"/>
      <c r="BP172" s="391"/>
      <c r="BQ172" s="391"/>
      <c r="BR172" s="391"/>
      <c r="BS172" s="391"/>
      <c r="BT172" s="391"/>
    </row>
    <row r="173" spans="2:72" s="324" customFormat="1" ht="12" customHeight="1">
      <c r="B173" s="674"/>
      <c r="C173" s="700"/>
      <c r="D173" s="738"/>
      <c r="E173" s="739"/>
      <c r="F173" s="739"/>
      <c r="G173" s="740"/>
      <c r="H173" s="680"/>
      <c r="I173" s="680"/>
      <c r="J173" s="680"/>
      <c r="K173" s="680"/>
      <c r="L173" s="588"/>
      <c r="M173" s="588"/>
      <c r="R173" s="700"/>
      <c r="S173" s="738"/>
      <c r="T173" s="739"/>
      <c r="U173" s="685"/>
      <c r="V173" s="685"/>
      <c r="W173" s="579"/>
      <c r="X173" s="579"/>
      <c r="Y173" s="579"/>
      <c r="Z173" s="579"/>
      <c r="AA173" s="588"/>
      <c r="AB173" s="588"/>
      <c r="AC173" s="588"/>
      <c r="AD173" s="51"/>
      <c r="AE173" s="774"/>
      <c r="AF173" s="774"/>
      <c r="AG173" s="774"/>
      <c r="AH173" s="774"/>
      <c r="AI173" s="570"/>
      <c r="AJ173" s="589"/>
      <c r="AK173" s="391"/>
      <c r="AL173" s="391"/>
      <c r="AM173" s="391"/>
      <c r="AN173" s="391"/>
      <c r="AO173" s="579"/>
      <c r="AP173" s="579"/>
      <c r="AQ173" s="579"/>
      <c r="AR173" s="579"/>
      <c r="AS173" s="588"/>
      <c r="AT173" s="391"/>
      <c r="AU173" s="589"/>
      <c r="AV173" s="391"/>
      <c r="AW173" s="391"/>
      <c r="AX173" s="391"/>
      <c r="AY173" s="391"/>
      <c r="AZ173" s="391"/>
      <c r="BA173" s="391"/>
      <c r="BB173" s="585"/>
      <c r="BC173" s="585"/>
      <c r="BD173" s="585"/>
      <c r="BE173" s="585"/>
      <c r="BF173" s="391"/>
      <c r="BG173" s="391"/>
      <c r="BH173" s="391"/>
      <c r="BI173" s="391"/>
      <c r="BJ173" s="391"/>
      <c r="BK173" s="391"/>
      <c r="BL173" s="391"/>
      <c r="BM173" s="391"/>
      <c r="BN173" s="391"/>
      <c r="BO173" s="391"/>
      <c r="BP173" s="391"/>
      <c r="BQ173" s="391"/>
      <c r="BR173" s="391"/>
      <c r="BS173" s="391"/>
      <c r="BT173" s="391"/>
    </row>
    <row r="174" spans="2:72" s="324" customFormat="1" ht="12" customHeight="1">
      <c r="B174" s="775"/>
      <c r="C174" s="775"/>
      <c r="D174" s="776"/>
      <c r="E174" s="739"/>
      <c r="F174" s="777"/>
      <c r="G174" s="777"/>
      <c r="H174" s="778"/>
      <c r="I174" s="778"/>
      <c r="J174" s="779"/>
      <c r="K174" s="779"/>
      <c r="L174" s="780"/>
      <c r="M174" s="781"/>
      <c r="R174" s="756"/>
      <c r="S174" s="782"/>
      <c r="T174" s="783"/>
      <c r="U174" s="685"/>
      <c r="V174" s="685"/>
      <c r="W174" s="784"/>
      <c r="X174" s="784"/>
      <c r="Y174" s="784"/>
      <c r="Z174" s="784"/>
      <c r="AA174" s="781"/>
      <c r="AB174" s="781"/>
      <c r="AC174" s="781"/>
      <c r="AD174" s="51"/>
      <c r="AE174" s="774"/>
      <c r="AF174" s="774"/>
      <c r="AG174" s="774"/>
      <c r="AH174" s="774"/>
      <c r="AI174" s="570"/>
      <c r="AJ174" s="589"/>
      <c r="AK174" s="391"/>
      <c r="AL174" s="391"/>
      <c r="AM174" s="391"/>
      <c r="AN174" s="391"/>
      <c r="AO174" s="579"/>
      <c r="AP174" s="579"/>
      <c r="AQ174" s="579"/>
      <c r="AR174" s="579"/>
      <c r="AS174" s="588"/>
      <c r="AT174" s="391"/>
      <c r="AU174" s="589"/>
      <c r="AV174" s="391"/>
      <c r="AW174" s="391"/>
      <c r="AX174" s="391"/>
      <c r="AY174" s="391"/>
      <c r="AZ174" s="391"/>
      <c r="BA174" s="391"/>
      <c r="BB174" s="585"/>
      <c r="BC174" s="585"/>
      <c r="BD174" s="585"/>
      <c r="BE174" s="585"/>
      <c r="BF174" s="391"/>
      <c r="BG174" s="391"/>
      <c r="BH174" s="391"/>
      <c r="BI174" s="391"/>
      <c r="BJ174" s="391"/>
      <c r="BK174" s="391"/>
      <c r="BL174" s="391"/>
      <c r="BM174" s="391"/>
      <c r="BN174" s="391"/>
      <c r="BO174" s="391"/>
      <c r="BP174" s="391"/>
      <c r="BQ174" s="391"/>
      <c r="BR174" s="391"/>
      <c r="BS174" s="391"/>
      <c r="BT174" s="391"/>
    </row>
    <row r="175" spans="2:72" s="324" customFormat="1" ht="12" customHeight="1">
      <c r="B175" s="775"/>
      <c r="C175" s="775"/>
      <c r="D175" s="776"/>
      <c r="E175" s="739"/>
      <c r="F175" s="777"/>
      <c r="G175" s="777"/>
      <c r="H175" s="778"/>
      <c r="I175" s="778"/>
      <c r="J175" s="779"/>
      <c r="K175" s="779"/>
      <c r="L175" s="780"/>
      <c r="M175" s="781"/>
      <c r="R175" s="756"/>
      <c r="S175" s="782"/>
      <c r="T175" s="783"/>
      <c r="U175" s="685"/>
      <c r="V175" s="685"/>
      <c r="W175" s="784"/>
      <c r="X175" s="784"/>
      <c r="Y175" s="784"/>
      <c r="Z175" s="784"/>
      <c r="AA175" s="781"/>
      <c r="AB175" s="781"/>
      <c r="AC175" s="781"/>
      <c r="AD175" s="51"/>
      <c r="AE175" s="774"/>
      <c r="AF175" s="774"/>
      <c r="AG175" s="774"/>
      <c r="AH175" s="774"/>
      <c r="AI175" s="570"/>
      <c r="AJ175" s="589"/>
      <c r="AK175" s="391"/>
      <c r="AL175" s="391"/>
      <c r="AM175" s="391"/>
      <c r="AN175" s="391"/>
      <c r="AO175" s="579"/>
      <c r="AP175" s="579"/>
      <c r="AQ175" s="579"/>
      <c r="AR175" s="579"/>
      <c r="AS175" s="588"/>
      <c r="AT175" s="391"/>
      <c r="AU175" s="589"/>
      <c r="AV175" s="391"/>
      <c r="AW175" s="391"/>
      <c r="AX175" s="391"/>
      <c r="AY175" s="391"/>
      <c r="AZ175" s="391"/>
      <c r="BA175" s="391"/>
      <c r="BB175" s="585"/>
      <c r="BC175" s="585"/>
      <c r="BD175" s="585"/>
      <c r="BE175" s="585"/>
      <c r="BF175" s="391"/>
      <c r="BG175" s="391"/>
      <c r="BH175" s="391"/>
      <c r="BI175" s="391"/>
      <c r="BJ175" s="391"/>
      <c r="BK175" s="391"/>
      <c r="BL175" s="391"/>
      <c r="BM175" s="391"/>
      <c r="BN175" s="391"/>
      <c r="BO175" s="391"/>
      <c r="BP175" s="391"/>
      <c r="BQ175" s="391"/>
      <c r="BR175" s="391"/>
      <c r="BS175" s="391"/>
      <c r="BT175" s="391"/>
    </row>
    <row r="176" spans="2:72" s="324" customFormat="1" ht="12" customHeight="1">
      <c r="B176" s="775"/>
      <c r="C176" s="775"/>
      <c r="D176" s="776"/>
      <c r="E176" s="739"/>
      <c r="F176" s="777"/>
      <c r="G176" s="777"/>
      <c r="H176" s="778"/>
      <c r="I176" s="778"/>
      <c r="J176" s="779"/>
      <c r="K176" s="779"/>
      <c r="L176" s="780"/>
      <c r="M176" s="781"/>
      <c r="R176" s="756"/>
      <c r="S176" s="782"/>
      <c r="T176" s="783"/>
      <c r="U176" s="685"/>
      <c r="V176" s="685"/>
      <c r="W176" s="784"/>
      <c r="X176" s="784"/>
      <c r="Y176" s="784"/>
      <c r="Z176" s="784"/>
      <c r="AA176" s="781"/>
      <c r="AB176" s="781"/>
      <c r="AC176" s="781"/>
      <c r="AD176" s="51"/>
      <c r="AE176" s="774"/>
      <c r="AF176" s="774"/>
      <c r="AG176" s="774"/>
      <c r="AH176" s="774"/>
      <c r="AI176" s="570"/>
      <c r="AJ176" s="589"/>
      <c r="AK176" s="391"/>
      <c r="AL176" s="391"/>
      <c r="AM176" s="391"/>
      <c r="AN176" s="391"/>
      <c r="AO176" s="579"/>
      <c r="AP176" s="579"/>
      <c r="AQ176" s="579"/>
      <c r="AR176" s="579"/>
      <c r="AS176" s="588"/>
      <c r="AT176" s="391"/>
      <c r="AU176" s="589"/>
      <c r="AV176" s="391"/>
      <c r="AW176" s="391"/>
      <c r="AX176" s="391"/>
      <c r="AY176" s="391"/>
      <c r="AZ176" s="391"/>
      <c r="BA176" s="391"/>
      <c r="BB176" s="585"/>
      <c r="BC176" s="585"/>
      <c r="BD176" s="585"/>
      <c r="BE176" s="585"/>
      <c r="BF176" s="391"/>
      <c r="BG176" s="391"/>
      <c r="BH176" s="391"/>
      <c r="BI176" s="391"/>
      <c r="BJ176" s="391"/>
      <c r="BK176" s="391"/>
      <c r="BL176" s="391"/>
      <c r="BM176" s="391"/>
      <c r="BN176" s="391"/>
      <c r="BO176" s="391"/>
      <c r="BP176" s="391"/>
      <c r="BQ176" s="391"/>
      <c r="BR176" s="570"/>
      <c r="BS176" s="570"/>
      <c r="BT176" s="570"/>
    </row>
    <row r="177" spans="2:72" s="324" customFormat="1" ht="12" customHeight="1">
      <c r="B177" s="775"/>
      <c r="C177" s="775"/>
      <c r="D177" s="742"/>
      <c r="E177" s="739"/>
      <c r="F177" s="740"/>
      <c r="G177" s="740"/>
      <c r="H177" s="740"/>
      <c r="I177" s="740"/>
      <c r="J177" s="743"/>
      <c r="K177" s="743"/>
      <c r="L177" s="588"/>
      <c r="M177" s="588"/>
      <c r="R177" s="758"/>
      <c r="S177" s="738"/>
      <c r="T177" s="739"/>
      <c r="U177" s="685"/>
      <c r="V177" s="685"/>
      <c r="W177" s="587"/>
      <c r="X177" s="587"/>
      <c r="Y177" s="587"/>
      <c r="Z177" s="587"/>
      <c r="AA177" s="588"/>
      <c r="AB177" s="579"/>
      <c r="AC177" s="588"/>
      <c r="AD177" s="85"/>
      <c r="AE177" s="774"/>
      <c r="AF177" s="774"/>
      <c r="AG177" s="774"/>
      <c r="AH177" s="774"/>
      <c r="AI177" s="570"/>
      <c r="AJ177" s="570"/>
      <c r="AK177" s="391"/>
      <c r="AL177" s="391"/>
      <c r="AM177" s="391"/>
      <c r="AN177" s="391"/>
      <c r="AO177" s="579"/>
      <c r="AP177" s="579"/>
      <c r="AQ177" s="579"/>
      <c r="AR177" s="579"/>
      <c r="AS177" s="588"/>
      <c r="AT177" s="391"/>
      <c r="AU177" s="391"/>
      <c r="AV177" s="391"/>
      <c r="AW177" s="391"/>
      <c r="AX177" s="391"/>
      <c r="AY177" s="391"/>
      <c r="AZ177" s="391"/>
      <c r="BA177" s="391"/>
      <c r="BB177" s="391"/>
      <c r="BC177" s="391"/>
      <c r="BD177" s="391"/>
      <c r="BE177" s="391"/>
      <c r="BF177" s="391"/>
      <c r="BG177" s="391"/>
      <c r="BH177" s="391"/>
      <c r="BI177" s="391"/>
      <c r="BJ177" s="391"/>
      <c r="BK177" s="391"/>
      <c r="BL177" s="391"/>
      <c r="BM177" s="391"/>
      <c r="BN177" s="391"/>
      <c r="BO177" s="391"/>
      <c r="BP177" s="391"/>
      <c r="BQ177" s="391"/>
      <c r="BR177" s="570"/>
      <c r="BS177" s="570"/>
      <c r="BT177" s="570"/>
    </row>
    <row r="178" spans="2:72" s="324" customFormat="1" ht="12" customHeight="1">
      <c r="B178" s="775"/>
      <c r="C178" s="775"/>
      <c r="D178" s="742"/>
      <c r="E178" s="739"/>
      <c r="F178" s="740"/>
      <c r="G178" s="740"/>
      <c r="H178" s="740"/>
      <c r="I178" s="740"/>
      <c r="J178" s="743"/>
      <c r="K178" s="743"/>
      <c r="L178" s="588"/>
      <c r="M178" s="588"/>
      <c r="R178" s="758"/>
      <c r="S178" s="738"/>
      <c r="T178" s="739"/>
      <c r="U178" s="685"/>
      <c r="V178" s="685"/>
      <c r="W178" s="590"/>
      <c r="X178" s="590"/>
      <c r="Y178" s="590"/>
      <c r="Z178" s="590"/>
      <c r="AA178" s="588"/>
      <c r="AB178" s="579"/>
      <c r="AC178" s="588"/>
      <c r="AD178" s="85"/>
      <c r="AI178" s="570"/>
      <c r="AJ178" s="570"/>
      <c r="AK178" s="391"/>
      <c r="AL178" s="391"/>
      <c r="AM178" s="391"/>
      <c r="AN178" s="391"/>
      <c r="AO178" s="579"/>
      <c r="AP178" s="579"/>
      <c r="AQ178" s="579"/>
      <c r="AR178" s="579"/>
      <c r="AS178" s="588"/>
      <c r="AT178" s="391"/>
      <c r="AU178" s="391"/>
      <c r="AV178" s="391"/>
      <c r="AW178" s="391"/>
      <c r="AX178" s="391"/>
      <c r="AY178" s="391"/>
      <c r="AZ178" s="391"/>
      <c r="BA178" s="391"/>
      <c r="BB178" s="391"/>
      <c r="BC178" s="391"/>
      <c r="BD178" s="391"/>
      <c r="BE178" s="391"/>
      <c r="BF178" s="391"/>
      <c r="BG178" s="391"/>
      <c r="BH178" s="391"/>
      <c r="BI178" s="391"/>
      <c r="BJ178" s="391"/>
      <c r="BK178" s="391"/>
      <c r="BL178" s="391"/>
      <c r="BM178" s="391"/>
      <c r="BN178" s="391"/>
      <c r="BO178" s="391"/>
      <c r="BP178" s="391"/>
      <c r="BQ178" s="391"/>
      <c r="BR178" s="570"/>
      <c r="BS178" s="570"/>
      <c r="BT178" s="570"/>
    </row>
    <row r="179" spans="2:72" s="324" customFormat="1" ht="12" customHeight="1">
      <c r="B179" s="775"/>
      <c r="C179" s="775"/>
      <c r="D179" s="742"/>
      <c r="E179" s="739"/>
      <c r="F179" s="740"/>
      <c r="G179" s="740"/>
      <c r="H179" s="740"/>
      <c r="I179" s="740"/>
      <c r="J179" s="743"/>
      <c r="K179" s="743"/>
      <c r="L179" s="588"/>
      <c r="M179" s="588"/>
      <c r="O179" s="744"/>
      <c r="R179" s="758"/>
      <c r="S179" s="738"/>
      <c r="T179" s="739"/>
      <c r="U179" s="685"/>
      <c r="V179" s="685"/>
      <c r="W179" s="590"/>
      <c r="X179" s="590"/>
      <c r="Y179" s="590"/>
      <c r="Z179" s="590"/>
      <c r="AA179" s="588"/>
      <c r="AB179" s="579"/>
      <c r="AC179" s="588"/>
      <c r="AD179" s="85"/>
      <c r="AE179" s="701"/>
      <c r="AF179" s="701"/>
      <c r="AG179" s="701"/>
      <c r="AI179" s="570"/>
      <c r="AJ179" s="570"/>
      <c r="AK179" s="391"/>
      <c r="AL179" s="391"/>
      <c r="AM179" s="391"/>
      <c r="AN179" s="391"/>
      <c r="AO179" s="579"/>
      <c r="AP179" s="579"/>
      <c r="AQ179" s="579"/>
      <c r="AR179" s="579"/>
      <c r="AS179" s="588"/>
      <c r="AT179" s="391"/>
      <c r="AU179" s="391"/>
      <c r="AV179" s="391"/>
      <c r="AW179" s="391"/>
      <c r="AX179" s="391"/>
      <c r="AY179" s="391"/>
      <c r="AZ179" s="391"/>
      <c r="BA179" s="391"/>
      <c r="BB179" s="391"/>
      <c r="BC179" s="391"/>
      <c r="BD179" s="391"/>
      <c r="BE179" s="391"/>
      <c r="BF179" s="391"/>
      <c r="BG179" s="391"/>
      <c r="BH179" s="391"/>
      <c r="BI179" s="391"/>
      <c r="BJ179" s="391"/>
      <c r="BK179" s="391"/>
      <c r="BL179" s="391"/>
      <c r="BM179" s="391"/>
      <c r="BN179" s="391"/>
      <c r="BO179" s="391"/>
      <c r="BP179" s="391"/>
      <c r="BQ179" s="391"/>
      <c r="BR179" s="570"/>
      <c r="BS179" s="570"/>
      <c r="BT179" s="570"/>
    </row>
    <row r="180" spans="2:72" s="324" customFormat="1" ht="12" customHeight="1">
      <c r="B180" s="767"/>
      <c r="C180" s="702"/>
      <c r="D180" s="710"/>
      <c r="F180" s="745"/>
      <c r="G180" s="745"/>
      <c r="H180" s="745"/>
      <c r="I180" s="745"/>
      <c r="J180" s="745"/>
      <c r="K180" s="745"/>
      <c r="L180" s="579"/>
      <c r="M180" s="746"/>
      <c r="O180" s="747"/>
      <c r="P180" s="747"/>
      <c r="R180" s="702"/>
      <c r="S180" s="710"/>
      <c r="T180" s="711"/>
      <c r="U180" s="785"/>
      <c r="V180" s="786"/>
      <c r="W180" s="591"/>
      <c r="X180" s="591"/>
      <c r="Y180" s="591"/>
      <c r="Z180" s="591"/>
      <c r="AA180" s="579"/>
      <c r="AB180" s="579"/>
      <c r="AC180" s="588"/>
      <c r="AD180" s="85"/>
      <c r="AE180" s="675"/>
      <c r="AF180" s="675"/>
      <c r="AI180" s="570"/>
      <c r="AJ180" s="570"/>
      <c r="AK180" s="391"/>
      <c r="AL180" s="391"/>
      <c r="AM180" s="391"/>
      <c r="AN180" s="391"/>
      <c r="AO180" s="591"/>
      <c r="AP180" s="591"/>
      <c r="AQ180" s="591"/>
      <c r="AR180" s="591"/>
      <c r="AS180" s="579"/>
      <c r="AT180" s="391"/>
      <c r="AU180" s="391"/>
      <c r="AV180" s="391"/>
      <c r="AW180" s="391"/>
      <c r="AX180" s="391"/>
      <c r="AY180" s="391"/>
      <c r="AZ180" s="391"/>
      <c r="BA180" s="391"/>
      <c r="BB180" s="391"/>
      <c r="BC180" s="391"/>
      <c r="BD180" s="391"/>
      <c r="BE180" s="391"/>
      <c r="BF180" s="391"/>
      <c r="BG180" s="391"/>
      <c r="BH180" s="391"/>
      <c r="BI180" s="391"/>
      <c r="BJ180" s="391"/>
      <c r="BK180" s="391"/>
      <c r="BL180" s="391"/>
      <c r="BM180" s="391"/>
      <c r="BN180" s="391"/>
      <c r="BO180" s="391"/>
      <c r="BP180" s="391"/>
      <c r="BQ180" s="391"/>
      <c r="BR180" s="570"/>
      <c r="BS180" s="570"/>
      <c r="BT180" s="570"/>
    </row>
    <row r="181" spans="2:72" s="324" customFormat="1" ht="12" customHeight="1">
      <c r="B181" s="767"/>
      <c r="C181" s="712"/>
      <c r="D181" s="715"/>
      <c r="F181" s="787"/>
      <c r="G181" s="787"/>
      <c r="H181" s="787"/>
      <c r="I181" s="787"/>
      <c r="J181" s="787"/>
      <c r="K181" s="787"/>
      <c r="M181" s="748"/>
      <c r="O181" s="749"/>
      <c r="P181" s="747"/>
      <c r="R181" s="712"/>
      <c r="S181" s="715"/>
      <c r="T181" s="716"/>
      <c r="U181" s="788"/>
      <c r="V181" s="788"/>
      <c r="W181" s="654"/>
      <c r="X181" s="654"/>
      <c r="Y181" s="654"/>
      <c r="Z181" s="654"/>
      <c r="AA181" s="655"/>
      <c r="AB181" s="780"/>
      <c r="AC181" s="780"/>
      <c r="AE181" s="675"/>
      <c r="AF181" s="675"/>
      <c r="AI181" s="570"/>
      <c r="AJ181" s="570"/>
      <c r="AK181" s="391"/>
      <c r="AL181" s="391"/>
      <c r="AM181" s="391"/>
      <c r="AN181" s="391"/>
      <c r="AO181" s="391"/>
      <c r="AP181" s="391"/>
      <c r="AQ181" s="391"/>
      <c r="AR181" s="391"/>
      <c r="AS181" s="391"/>
      <c r="AT181" s="592"/>
      <c r="AU181" s="391"/>
      <c r="AV181" s="391"/>
      <c r="AW181" s="391"/>
      <c r="AX181" s="391"/>
      <c r="AY181" s="391"/>
      <c r="AZ181" s="391"/>
      <c r="BA181" s="391"/>
      <c r="BB181" s="391"/>
      <c r="BC181" s="391"/>
      <c r="BD181" s="391"/>
      <c r="BE181" s="391"/>
      <c r="BF181" s="391"/>
      <c r="BG181" s="391"/>
      <c r="BH181" s="391"/>
      <c r="BI181" s="391"/>
      <c r="BJ181" s="391"/>
      <c r="BK181" s="391"/>
      <c r="BL181" s="391"/>
      <c r="BM181" s="391"/>
      <c r="BN181" s="391"/>
      <c r="BO181" s="391"/>
      <c r="BP181" s="391"/>
      <c r="BQ181" s="391"/>
      <c r="BR181" s="570"/>
      <c r="BS181" s="570"/>
      <c r="BT181" s="570"/>
    </row>
    <row r="182" spans="2:72" s="324" customFormat="1" ht="12" customHeight="1">
      <c r="B182" s="717"/>
      <c r="C182" s="718"/>
      <c r="D182" s="712"/>
      <c r="E182" s="750"/>
      <c r="F182" s="750"/>
      <c r="G182" s="751"/>
      <c r="H182" s="752"/>
      <c r="I182" s="752"/>
      <c r="J182" s="752"/>
      <c r="K182" s="752"/>
      <c r="L182" s="655"/>
      <c r="M182" s="753"/>
      <c r="R182" s="373"/>
      <c r="S182" s="373"/>
      <c r="T182" s="373"/>
      <c r="U182" s="373"/>
      <c r="V182" s="373"/>
      <c r="W182" s="789"/>
      <c r="X182" s="789"/>
      <c r="Y182" s="727"/>
      <c r="Z182" s="790"/>
      <c r="AA182" s="790"/>
      <c r="AB182" s="791"/>
      <c r="AC182" s="791"/>
      <c r="AD182" s="51"/>
      <c r="AE182" s="373"/>
      <c r="AF182" s="373"/>
      <c r="AG182" s="373"/>
      <c r="AH182" s="373"/>
      <c r="AI182" s="570"/>
      <c r="AJ182" s="570"/>
      <c r="AK182" s="391"/>
      <c r="AL182" s="391"/>
      <c r="AM182" s="391"/>
      <c r="AN182" s="391"/>
      <c r="AO182" s="391"/>
      <c r="AP182" s="391"/>
      <c r="AQ182" s="391"/>
      <c r="AR182" s="391"/>
      <c r="AS182" s="391"/>
      <c r="AT182" s="391"/>
      <c r="AU182" s="391"/>
      <c r="AV182" s="391"/>
      <c r="AW182" s="391"/>
      <c r="AX182" s="391"/>
      <c r="AY182" s="391"/>
      <c r="AZ182" s="391"/>
      <c r="BA182" s="391"/>
      <c r="BB182" s="391"/>
      <c r="BC182" s="391"/>
      <c r="BD182" s="391"/>
      <c r="BE182" s="391"/>
      <c r="BF182" s="391"/>
      <c r="BG182" s="391"/>
      <c r="BH182" s="391"/>
      <c r="BI182" s="391"/>
      <c r="BJ182" s="391"/>
      <c r="BK182" s="391"/>
      <c r="BL182" s="391"/>
      <c r="BM182" s="391"/>
      <c r="BN182" s="391"/>
      <c r="BO182" s="391"/>
      <c r="BP182" s="391"/>
      <c r="BQ182" s="391"/>
      <c r="BR182" s="570"/>
      <c r="BS182" s="570"/>
      <c r="BT182" s="570"/>
    </row>
    <row r="183" spans="18:72" s="324" customFormat="1" ht="12" customHeight="1">
      <c r="R183" s="64"/>
      <c r="S183" s="64"/>
      <c r="T183" s="64"/>
      <c r="U183" s="64"/>
      <c r="V183" s="570"/>
      <c r="W183" s="570"/>
      <c r="X183" s="570"/>
      <c r="Y183" s="255"/>
      <c r="Z183" s="255"/>
      <c r="AA183" s="255"/>
      <c r="AB183" s="255"/>
      <c r="AC183" s="255"/>
      <c r="AD183" s="255"/>
      <c r="AE183" s="255"/>
      <c r="AF183" s="255"/>
      <c r="AG183" s="570"/>
      <c r="AH183" s="570"/>
      <c r="AI183" s="570"/>
      <c r="AJ183" s="570"/>
      <c r="AK183" s="391"/>
      <c r="AL183" s="391"/>
      <c r="AM183" s="391"/>
      <c r="AN183" s="391"/>
      <c r="AO183" s="391"/>
      <c r="AP183" s="391"/>
      <c r="AQ183" s="391"/>
      <c r="AR183" s="391"/>
      <c r="AS183" s="391"/>
      <c r="AT183" s="391"/>
      <c r="AU183" s="391"/>
      <c r="AV183" s="391"/>
      <c r="AW183" s="391"/>
      <c r="AX183" s="391"/>
      <c r="AY183" s="391"/>
      <c r="AZ183" s="391"/>
      <c r="BA183" s="391"/>
      <c r="BB183" s="391"/>
      <c r="BC183" s="391"/>
      <c r="BD183" s="391"/>
      <c r="BE183" s="391"/>
      <c r="BF183" s="391"/>
      <c r="BG183" s="391"/>
      <c r="BH183" s="391"/>
      <c r="BI183" s="391"/>
      <c r="BJ183" s="391"/>
      <c r="BK183" s="391"/>
      <c r="BL183" s="391"/>
      <c r="BM183" s="391"/>
      <c r="BN183" s="391"/>
      <c r="BO183" s="391"/>
      <c r="BP183" s="391"/>
      <c r="BQ183" s="391"/>
      <c r="BR183" s="570"/>
      <c r="BS183" s="570"/>
      <c r="BT183" s="570"/>
    </row>
    <row r="184" spans="18:72" s="324" customFormat="1" ht="12" customHeight="1">
      <c r="R184" s="64"/>
      <c r="S184" s="64"/>
      <c r="T184" s="64"/>
      <c r="U184" s="64"/>
      <c r="V184" s="570"/>
      <c r="W184" s="570"/>
      <c r="X184" s="570"/>
      <c r="Y184" s="255"/>
      <c r="Z184" s="255"/>
      <c r="AA184" s="255"/>
      <c r="AB184" s="255"/>
      <c r="AC184" s="255"/>
      <c r="AD184" s="255"/>
      <c r="AE184" s="255"/>
      <c r="AF184" s="255"/>
      <c r="AG184" s="570"/>
      <c r="AH184" s="570"/>
      <c r="AI184" s="570"/>
      <c r="AJ184" s="570"/>
      <c r="AK184" s="391"/>
      <c r="AL184" s="391"/>
      <c r="AM184" s="391"/>
      <c r="AN184" s="391"/>
      <c r="AO184" s="391"/>
      <c r="AP184" s="391"/>
      <c r="AQ184" s="391"/>
      <c r="AR184" s="391"/>
      <c r="AS184" s="391"/>
      <c r="AT184" s="391"/>
      <c r="AU184" s="391"/>
      <c r="AV184" s="391"/>
      <c r="AW184" s="391"/>
      <c r="AX184" s="391"/>
      <c r="AY184" s="391"/>
      <c r="AZ184" s="391"/>
      <c r="BA184" s="391"/>
      <c r="BB184" s="391"/>
      <c r="BC184" s="391"/>
      <c r="BD184" s="391"/>
      <c r="BE184" s="391"/>
      <c r="BF184" s="391"/>
      <c r="BG184" s="391"/>
      <c r="BH184" s="391"/>
      <c r="BI184" s="391"/>
      <c r="BJ184" s="391"/>
      <c r="BK184" s="391"/>
      <c r="BL184" s="391"/>
      <c r="BM184" s="391"/>
      <c r="BN184" s="391"/>
      <c r="BO184" s="391"/>
      <c r="BP184" s="391"/>
      <c r="BQ184" s="391"/>
      <c r="BR184" s="570"/>
      <c r="BS184" s="570"/>
      <c r="BT184" s="570"/>
    </row>
    <row r="185" spans="54:72" ht="12" customHeight="1">
      <c r="BB185" s="288"/>
      <c r="BC185" s="288"/>
      <c r="BD185" s="288"/>
      <c r="BE185" s="288"/>
      <c r="BF185" s="288"/>
      <c r="BI185" s="288"/>
      <c r="BJ185" s="288"/>
      <c r="BK185" s="288"/>
      <c r="BL185" s="288"/>
      <c r="BM185" s="288"/>
      <c r="BN185" s="288"/>
      <c r="BO185" s="288"/>
      <c r="BP185" s="391"/>
      <c r="BQ185" s="288"/>
      <c r="BR185" s="288"/>
      <c r="BS185" s="288"/>
      <c r="BT185" s="288"/>
    </row>
    <row r="186" spans="54:72" ht="12" customHeight="1">
      <c r="BB186" s="288"/>
      <c r="BC186" s="288"/>
      <c r="BD186" s="288"/>
      <c r="BE186" s="288"/>
      <c r="BF186" s="288"/>
      <c r="BI186" s="288"/>
      <c r="BJ186" s="288"/>
      <c r="BK186" s="288"/>
      <c r="BL186" s="288"/>
      <c r="BM186" s="288"/>
      <c r="BN186" s="288"/>
      <c r="BO186" s="288"/>
      <c r="BP186" s="391"/>
      <c r="BQ186" s="288"/>
      <c r="BR186" s="288"/>
      <c r="BS186" s="288"/>
      <c r="BT186" s="288"/>
    </row>
    <row r="187" spans="54:72" ht="12" customHeight="1">
      <c r="BB187" s="288"/>
      <c r="BC187" s="288"/>
      <c r="BD187" s="288"/>
      <c r="BE187" s="288"/>
      <c r="BF187" s="288"/>
      <c r="BI187" s="288"/>
      <c r="BJ187" s="288"/>
      <c r="BK187" s="288"/>
      <c r="BL187" s="288"/>
      <c r="BM187" s="288"/>
      <c r="BN187" s="288"/>
      <c r="BO187" s="288"/>
      <c r="BP187" s="391"/>
      <c r="BQ187" s="288"/>
      <c r="BR187" s="288"/>
      <c r="BS187" s="288"/>
      <c r="BT187" s="288"/>
    </row>
    <row r="188" spans="54:72" ht="12" customHeight="1">
      <c r="BB188" s="288"/>
      <c r="BC188" s="288"/>
      <c r="BD188" s="288"/>
      <c r="BE188" s="288"/>
      <c r="BF188" s="288"/>
      <c r="BI188" s="288"/>
      <c r="BJ188" s="288"/>
      <c r="BK188" s="288"/>
      <c r="BL188" s="288"/>
      <c r="BM188" s="288"/>
      <c r="BN188" s="288"/>
      <c r="BO188" s="288"/>
      <c r="BP188" s="391"/>
      <c r="BQ188" s="288"/>
      <c r="BR188" s="288"/>
      <c r="BS188" s="288"/>
      <c r="BT188" s="288"/>
    </row>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37" spans="15:18" ht="12.75">
      <c r="O237" s="1438" t="s">
        <v>345</v>
      </c>
      <c r="P237" s="1438"/>
      <c r="Q237" s="1438"/>
      <c r="R237" s="1438"/>
    </row>
    <row r="238" spans="15:18" ht="12.75">
      <c r="O238" s="1438"/>
      <c r="P238" s="1438"/>
      <c r="Q238" s="1438"/>
      <c r="R238" s="1438"/>
    </row>
    <row r="239" spans="15:18" ht="12.75">
      <c r="O239" s="1438"/>
      <c r="P239" s="1438"/>
      <c r="Q239" s="1438"/>
      <c r="R239" s="1438"/>
    </row>
    <row r="240" spans="15:18" ht="12.75">
      <c r="O240" s="1438"/>
      <c r="P240" s="1438"/>
      <c r="Q240" s="1438"/>
      <c r="R240" s="1438"/>
    </row>
    <row r="241" spans="15:18" ht="12.75">
      <c r="O241" s="1438"/>
      <c r="P241" s="1438"/>
      <c r="Q241" s="1438"/>
      <c r="R241" s="1438"/>
    </row>
    <row r="242" spans="15:18" ht="12.75">
      <c r="O242" s="1438"/>
      <c r="P242" s="1438"/>
      <c r="Q242" s="1438"/>
      <c r="R242" s="1438"/>
    </row>
    <row r="243" spans="15:18" ht="12.75">
      <c r="O243" s="1438"/>
      <c r="P243" s="1438"/>
      <c r="Q243" s="1438"/>
      <c r="R243" s="1438"/>
    </row>
    <row r="244" spans="15:18" ht="12.75">
      <c r="O244" s="1438"/>
      <c r="P244" s="1438"/>
      <c r="Q244" s="1438"/>
      <c r="R244" s="1438"/>
    </row>
    <row r="245" spans="15:18" ht="12.75">
      <c r="O245" s="1438"/>
      <c r="P245" s="1438"/>
      <c r="Q245" s="1438"/>
      <c r="R245" s="1438"/>
    </row>
    <row r="247" spans="2:15" ht="12.75" customHeight="1">
      <c r="B247" s="1439" t="s">
        <v>330</v>
      </c>
      <c r="C247" s="1439"/>
      <c r="D247" s="1395" t="s">
        <v>331</v>
      </c>
      <c r="E247" s="1395"/>
      <c r="F247" s="1395"/>
      <c r="G247" s="1395"/>
      <c r="K247" s="1395" t="s">
        <v>332</v>
      </c>
      <c r="L247" s="1395"/>
      <c r="O247" s="33" t="s">
        <v>334</v>
      </c>
    </row>
    <row r="248" spans="2:20" ht="12.75">
      <c r="B248" s="1439"/>
      <c r="C248" s="1439"/>
      <c r="D248" s="1395"/>
      <c r="E248" s="1395"/>
      <c r="F248" s="1395"/>
      <c r="G248" s="1395"/>
      <c r="I248" s="33" t="s">
        <v>68</v>
      </c>
      <c r="K248" s="1395"/>
      <c r="L248" s="1395"/>
      <c r="M248" s="33" t="s">
        <v>333</v>
      </c>
      <c r="O248" s="33" t="s">
        <v>335</v>
      </c>
      <c r="S248" s="793" t="s">
        <v>428</v>
      </c>
      <c r="T248" s="794" t="s">
        <v>153</v>
      </c>
    </row>
    <row r="249" spans="2:3" ht="12.75">
      <c r="B249" s="61"/>
      <c r="C249" s="61"/>
    </row>
    <row r="250" spans="2:20" ht="12.75">
      <c r="B250" s="461" t="s">
        <v>20</v>
      </c>
      <c r="C250" s="61"/>
      <c r="D250" s="461" t="s">
        <v>27</v>
      </c>
      <c r="I250" s="463" t="s">
        <v>40</v>
      </c>
      <c r="K250" s="464" t="s">
        <v>46</v>
      </c>
      <c r="M250" s="462" t="s">
        <v>54</v>
      </c>
      <c r="O250" s="1419" t="s">
        <v>59</v>
      </c>
      <c r="P250" s="1419"/>
      <c r="S250" s="463" t="s">
        <v>338</v>
      </c>
      <c r="T250" s="1224">
        <v>0</v>
      </c>
    </row>
    <row r="251" spans="2:20" ht="12.75">
      <c r="B251" s="461" t="s">
        <v>35</v>
      </c>
      <c r="C251" s="61"/>
      <c r="D251" s="462"/>
      <c r="I251" s="464" t="s">
        <v>202</v>
      </c>
      <c r="K251" s="463" t="s">
        <v>48</v>
      </c>
      <c r="M251" s="462" t="s">
        <v>55</v>
      </c>
      <c r="O251" s="1419"/>
      <c r="P251" s="1419"/>
      <c r="S251" s="463" t="s">
        <v>339</v>
      </c>
      <c r="T251" s="463">
        <v>1</v>
      </c>
    </row>
    <row r="252" spans="2:20" ht="12.75">
      <c r="B252" s="461" t="s">
        <v>535</v>
      </c>
      <c r="C252" s="61"/>
      <c r="D252" s="462"/>
      <c r="I252" s="463" t="s">
        <v>42</v>
      </c>
      <c r="K252" s="463" t="s">
        <v>201</v>
      </c>
      <c r="M252" s="462" t="s">
        <v>57</v>
      </c>
      <c r="O252" s="1419"/>
      <c r="P252" s="1419"/>
      <c r="T252" s="463">
        <v>2</v>
      </c>
    </row>
    <row r="253" spans="2:20" ht="12.75">
      <c r="B253" s="461" t="s">
        <v>39</v>
      </c>
      <c r="C253" s="61"/>
      <c r="I253" s="463" t="s">
        <v>43</v>
      </c>
      <c r="K253" s="463" t="s">
        <v>49</v>
      </c>
      <c r="M253" s="462"/>
      <c r="T253" s="463">
        <v>3</v>
      </c>
    </row>
    <row r="254" spans="2:20" ht="12.75">
      <c r="B254" s="461" t="s">
        <v>200</v>
      </c>
      <c r="C254" s="61"/>
      <c r="D254" s="1395" t="s">
        <v>344</v>
      </c>
      <c r="E254" s="1395"/>
      <c r="F254" s="1395"/>
      <c r="G254" s="1395"/>
      <c r="I254" s="462" t="s">
        <v>507</v>
      </c>
      <c r="K254" s="463" t="s">
        <v>50</v>
      </c>
      <c r="M254" s="462"/>
      <c r="T254" s="463">
        <v>4</v>
      </c>
    </row>
    <row r="255" spans="2:20" ht="12.75">
      <c r="B255" s="461"/>
      <c r="D255" s="1395"/>
      <c r="E255" s="1395"/>
      <c r="F255" s="1395"/>
      <c r="G255" s="1395"/>
      <c r="I255" s="462"/>
      <c r="K255" s="463" t="s">
        <v>47</v>
      </c>
      <c r="M255" s="462"/>
      <c r="T255" s="463">
        <v>5</v>
      </c>
    </row>
    <row r="256" spans="2:20" ht="12.75">
      <c r="B256" s="422"/>
      <c r="D256" s="1395"/>
      <c r="E256" s="1395"/>
      <c r="F256" s="1395"/>
      <c r="G256" s="1395"/>
      <c r="I256" s="422"/>
      <c r="K256" s="462"/>
      <c r="T256" s="463">
        <v>6</v>
      </c>
    </row>
    <row r="257" spans="2:20" ht="12.75" customHeight="1">
      <c r="B257" s="1440" t="s">
        <v>352</v>
      </c>
      <c r="C257" s="1440"/>
      <c r="D257" s="1395"/>
      <c r="E257" s="1395"/>
      <c r="F257" s="1395"/>
      <c r="G257" s="1395"/>
      <c r="I257" s="422"/>
      <c r="K257" s="462"/>
      <c r="T257" s="463">
        <v>7</v>
      </c>
    </row>
    <row r="258" spans="2:20" ht="12.75">
      <c r="B258" s="1440"/>
      <c r="C258" s="1440"/>
      <c r="D258" s="1395"/>
      <c r="E258" s="1395"/>
      <c r="F258" s="1395"/>
      <c r="G258" s="1395"/>
      <c r="T258" s="463">
        <v>8</v>
      </c>
    </row>
    <row r="259" spans="2:20" ht="12.75">
      <c r="B259" s="1440"/>
      <c r="C259" s="1440"/>
      <c r="D259" s="1395"/>
      <c r="E259" s="1395"/>
      <c r="F259" s="1395"/>
      <c r="G259" s="1395"/>
      <c r="T259" s="463">
        <v>9</v>
      </c>
    </row>
    <row r="260" spans="2:20" ht="12.75">
      <c r="B260" s="1440"/>
      <c r="C260" s="1440"/>
      <c r="D260" s="1395"/>
      <c r="E260" s="1395"/>
      <c r="F260" s="1395"/>
      <c r="G260" s="1395"/>
      <c r="T260" s="463">
        <v>10</v>
      </c>
    </row>
    <row r="261" spans="2:20" ht="12.75">
      <c r="B261" s="1440"/>
      <c r="C261" s="1440"/>
      <c r="I261" s="34" t="s">
        <v>72</v>
      </c>
      <c r="J261" s="34"/>
      <c r="K261" s="248" t="s">
        <v>207</v>
      </c>
      <c r="M261" s="33" t="s">
        <v>343</v>
      </c>
      <c r="N261" s="34"/>
      <c r="O261" s="34"/>
      <c r="T261" s="463">
        <v>11</v>
      </c>
    </row>
    <row r="262" spans="2:20" ht="12.75">
      <c r="B262" s="1440"/>
      <c r="C262" s="1440"/>
      <c r="I262" s="34"/>
      <c r="J262" s="34"/>
      <c r="K262" s="34"/>
      <c r="T262" s="463">
        <v>12</v>
      </c>
    </row>
    <row r="263" spans="2:20" ht="12.75">
      <c r="B263" s="1440"/>
      <c r="C263" s="1440"/>
      <c r="I263" s="466" t="s">
        <v>56</v>
      </c>
      <c r="J263" s="34"/>
      <c r="K263" s="463" t="s">
        <v>208</v>
      </c>
      <c r="M263" s="462" t="s">
        <v>343</v>
      </c>
      <c r="T263" s="463">
        <v>13</v>
      </c>
    </row>
    <row r="264" spans="9:20" ht="12.75">
      <c r="I264" s="466" t="s">
        <v>60</v>
      </c>
      <c r="J264" s="34"/>
      <c r="K264" s="463" t="s">
        <v>209</v>
      </c>
      <c r="M264" s="465"/>
      <c r="T264" s="463">
        <v>14</v>
      </c>
    </row>
    <row r="265" spans="9:20" ht="12.75">
      <c r="I265" s="466" t="s">
        <v>49</v>
      </c>
      <c r="J265" s="34"/>
      <c r="K265" s="463" t="s">
        <v>210</v>
      </c>
      <c r="M265" s="462"/>
      <c r="T265" s="463">
        <v>15</v>
      </c>
    </row>
    <row r="266" spans="9:20" ht="12.75">
      <c r="I266" s="491"/>
      <c r="K266" s="463" t="s">
        <v>354</v>
      </c>
      <c r="T266" s="463" t="s">
        <v>70</v>
      </c>
    </row>
  </sheetData>
  <sheetProtection password="81D9" sheet="1"/>
  <mergeCells count="98">
    <mergeCell ref="AE30:AH34"/>
    <mergeCell ref="AE28:AH29"/>
    <mergeCell ref="D254:G260"/>
    <mergeCell ref="B5:M5"/>
    <mergeCell ref="O5:P8"/>
    <mergeCell ref="O237:R245"/>
    <mergeCell ref="B247:C248"/>
    <mergeCell ref="B257:C263"/>
    <mergeCell ref="O250:P250"/>
    <mergeCell ref="O251:P251"/>
    <mergeCell ref="O252:P252"/>
    <mergeCell ref="D247:G248"/>
    <mergeCell ref="AE6:AG8"/>
    <mergeCell ref="W6:Z6"/>
    <mergeCell ref="W7:X7"/>
    <mergeCell ref="U7:V7"/>
    <mergeCell ref="F6:G6"/>
    <mergeCell ref="H6:K6"/>
    <mergeCell ref="S7:S8"/>
    <mergeCell ref="T7:T8"/>
    <mergeCell ref="Y7:Z7"/>
    <mergeCell ref="AB7:AC7"/>
    <mergeCell ref="O25:P25"/>
    <mergeCell ref="W39:X39"/>
    <mergeCell ref="F7:G7"/>
    <mergeCell ref="H7:I7"/>
    <mergeCell ref="J7:K7"/>
    <mergeCell ref="R6:R8"/>
    <mergeCell ref="R14:R16"/>
    <mergeCell ref="S31:S33"/>
    <mergeCell ref="K247:L248"/>
    <mergeCell ref="U6:V6"/>
    <mergeCell ref="O11:P11"/>
    <mergeCell ref="R9:R13"/>
    <mergeCell ref="O10:P10"/>
    <mergeCell ref="O27:P27"/>
    <mergeCell ref="U31:U33"/>
    <mergeCell ref="V31:V33"/>
    <mergeCell ref="R39:V39"/>
    <mergeCell ref="O24:P24"/>
    <mergeCell ref="C9:C13"/>
    <mergeCell ref="O12:P12"/>
    <mergeCell ref="C17:C22"/>
    <mergeCell ref="R17:R22"/>
    <mergeCell ref="C14:C16"/>
    <mergeCell ref="AE17:AF17"/>
    <mergeCell ref="AE11:AG15"/>
    <mergeCell ref="AE9:AG10"/>
    <mergeCell ref="AE19:AG22"/>
    <mergeCell ref="B1:M1"/>
    <mergeCell ref="B3:M3"/>
    <mergeCell ref="R3:AG4"/>
    <mergeCell ref="AA6:AC6"/>
    <mergeCell ref="L6:L8"/>
    <mergeCell ref="M6:M8"/>
    <mergeCell ref="B6:B8"/>
    <mergeCell ref="C6:C8"/>
    <mergeCell ref="D6:E6"/>
    <mergeCell ref="E7:E8"/>
    <mergeCell ref="C23:C27"/>
    <mergeCell ref="R23:R27"/>
    <mergeCell ref="AE23:AG25"/>
    <mergeCell ref="H31:H33"/>
    <mergeCell ref="I31:I33"/>
    <mergeCell ref="C28:C29"/>
    <mergeCell ref="R28:R29"/>
    <mergeCell ref="AA31:AA33"/>
    <mergeCell ref="J31:J33"/>
    <mergeCell ref="O26:P26"/>
    <mergeCell ref="AE36:AG36"/>
    <mergeCell ref="AC31:AC33"/>
    <mergeCell ref="Z31:Z33"/>
    <mergeCell ref="AE39:AH39"/>
    <mergeCell ref="H38:I38"/>
    <mergeCell ref="J38:K38"/>
    <mergeCell ref="U38:V38"/>
    <mergeCell ref="R31:R33"/>
    <mergeCell ref="K31:K33"/>
    <mergeCell ref="AB39:AC39"/>
    <mergeCell ref="C37:E38"/>
    <mergeCell ref="R34:R36"/>
    <mergeCell ref="B31:C33"/>
    <mergeCell ref="F31:F33"/>
    <mergeCell ref="B37:B38"/>
    <mergeCell ref="U37:V37"/>
    <mergeCell ref="F38:G38"/>
    <mergeCell ref="B34:C36"/>
    <mergeCell ref="G31:G33"/>
    <mergeCell ref="AB38:AC38"/>
    <mergeCell ref="Y31:Y33"/>
    <mergeCell ref="Z39:AA39"/>
    <mergeCell ref="AB31:AB33"/>
    <mergeCell ref="D31:D33"/>
    <mergeCell ref="T31:T33"/>
    <mergeCell ref="W31:W33"/>
    <mergeCell ref="X31:X33"/>
    <mergeCell ref="L31:L33"/>
    <mergeCell ref="M31:M33"/>
  </mergeCells>
  <conditionalFormatting sqref="H18:I20">
    <cfRule type="expression" priority="57" dxfId="12" stopIfTrue="1">
      <formula>AND($D18&lt;&gt;"",H18&lt;5,H18&lt;&gt;"")</formula>
    </cfRule>
    <cfRule type="expression" priority="565" dxfId="31" stopIfTrue="1">
      <formula>OR($D18="GE",$D18="SW",$E18&lt;&gt;"")</formula>
    </cfRule>
  </conditionalFormatting>
  <conditionalFormatting sqref="AA14:AA16 L34:L36 L9:L31">
    <cfRule type="cellIs" priority="143" dxfId="95" operator="equal" stopIfTrue="1">
      <formula>"?"</formula>
    </cfRule>
  </conditionalFormatting>
  <conditionalFormatting sqref="O5:P8">
    <cfRule type="expression" priority="514" dxfId="94" stopIfTrue="1">
      <formula>AND($O$5&lt;&gt;"",$AK$36&lt;&gt;"W")</formula>
    </cfRule>
  </conditionalFormatting>
  <conditionalFormatting sqref="M38">
    <cfRule type="cellIs" priority="125" dxfId="75" operator="lessThan" stopIfTrue="1">
      <formula>100</formula>
    </cfRule>
  </conditionalFormatting>
  <conditionalFormatting sqref="O36:P36">
    <cfRule type="expression" priority="124" dxfId="92" stopIfTrue="1">
      <formula>OR($O$37&lt;&gt;"",$O$38&lt;&gt;"")</formula>
    </cfRule>
  </conditionalFormatting>
  <conditionalFormatting sqref="AE37:AE38">
    <cfRule type="cellIs" priority="113" dxfId="91" operator="equal" stopIfTrue="1">
      <formula>0</formula>
    </cfRule>
  </conditionalFormatting>
  <conditionalFormatting sqref="AE36:AG36">
    <cfRule type="cellIs" priority="114" dxfId="90" operator="equal" stopIfTrue="1">
      <formula>"Defizit(e) - anzurechnen:"</formula>
    </cfRule>
  </conditionalFormatting>
  <conditionalFormatting sqref="AA38 L39">
    <cfRule type="cellIs" priority="115" dxfId="75" operator="lessThan" stopIfTrue="1">
      <formula>38</formula>
    </cfRule>
    <cfRule type="cellIs" priority="117" dxfId="76" operator="greaterThanOrEqual" stopIfTrue="1">
      <formula>38</formula>
    </cfRule>
  </conditionalFormatting>
  <conditionalFormatting sqref="H12:K12 J14:K20 H23:K24 H26:K30">
    <cfRule type="expression" priority="26" dxfId="27" stopIfTrue="1">
      <formula>AND($D12&lt;&gt;"",H12&lt;5,H12&lt;&gt;"")</formula>
    </cfRule>
  </conditionalFormatting>
  <conditionalFormatting sqref="J38:K38">
    <cfRule type="expression" priority="88" dxfId="85" stopIfTrue="1">
      <formula>$J$38&lt;32</formula>
    </cfRule>
  </conditionalFormatting>
  <conditionalFormatting sqref="H38:I38">
    <cfRule type="expression" priority="84" dxfId="85" stopIfTrue="1">
      <formula>$H$38&lt;32</formula>
    </cfRule>
  </conditionalFormatting>
  <conditionalFormatting sqref="B37:B38">
    <cfRule type="expression" priority="81" dxfId="84" stopIfTrue="1">
      <formula>$L$39&lt;35</formula>
    </cfRule>
    <cfRule type="expression" priority="82" dxfId="28" stopIfTrue="1">
      <formula>OR($L$39&lt;38,$AE$11&lt;&gt;"",$AE$6&lt;&gt;"")</formula>
    </cfRule>
    <cfRule type="expression" priority="83" dxfId="82" stopIfTrue="1">
      <formula>$L$39&gt;37</formula>
    </cfRule>
  </conditionalFormatting>
  <conditionalFormatting sqref="H25:K25">
    <cfRule type="expression" priority="52" dxfId="12" stopIfTrue="1">
      <formula>AND(H25&lt;5,H25&gt;=0,H25&lt;&gt;"",$D25&lt;&gt;"")</formula>
    </cfRule>
    <cfRule type="expression" priority="53" dxfId="31" stopIfTrue="1">
      <formula>OR($E$25&lt;&gt;"",AND($D$25&lt;&gt;"",$D$11=""))</formula>
    </cfRule>
    <cfRule type="expression" priority="564" dxfId="79" stopIfTrue="1">
      <formula>AND($D11&lt;&gt;"",$D$25&lt;&gt;"")</formula>
    </cfRule>
  </conditionalFormatting>
  <conditionalFormatting sqref="O10:P12 O24:P27">
    <cfRule type="expression" priority="515" dxfId="78" stopIfTrue="1">
      <formula>OR($O$5="",$D10="",$AK$36="W")</formula>
    </cfRule>
    <cfRule type="expression" priority="545" dxfId="77" stopIfTrue="1">
      <formula>AND($O$5&lt;&gt;"",$D10&lt;&gt;"",$AK$36="F")</formula>
    </cfRule>
  </conditionalFormatting>
  <conditionalFormatting sqref="AA37">
    <cfRule type="cellIs" priority="121" dxfId="76" operator="between" stopIfTrue="1">
      <formula>35</formula>
      <formula>40</formula>
    </cfRule>
    <cfRule type="cellIs" priority="122" dxfId="75" operator="notBetween" stopIfTrue="1">
      <formula>35</formula>
      <formula>40</formula>
    </cfRule>
  </conditionalFormatting>
  <conditionalFormatting sqref="W10:Z12">
    <cfRule type="expression" priority="591" dxfId="14" stopIfTrue="1">
      <formula>AND(W10&lt;5,W10&gt;=0,W10&lt;&gt;"",W10=BM10)</formula>
    </cfRule>
    <cfRule type="expression" priority="592" dxfId="13" stopIfTrue="1">
      <formula>W10=BM10</formula>
    </cfRule>
    <cfRule type="expression" priority="593" dxfId="12" stopIfTrue="1">
      <formula>AND(W10&lt;5,W10&gt;=0,W10&lt;&gt;"")</formula>
    </cfRule>
  </conditionalFormatting>
  <conditionalFormatting sqref="W14:Z16">
    <cfRule type="expression" priority="65" dxfId="14" stopIfTrue="1">
      <formula>AND(W14&lt;5,W14&gt;=0,W14&lt;&gt;"",W14=BM14)</formula>
    </cfRule>
    <cfRule type="expression" priority="66" dxfId="13" stopIfTrue="1">
      <formula>W14=BM14</formula>
    </cfRule>
    <cfRule type="expression" priority="67" dxfId="12" stopIfTrue="1">
      <formula>AND(W14&lt;5,W14&gt;=0,W14&lt;&gt;"")</formula>
    </cfRule>
  </conditionalFormatting>
  <conditionalFormatting sqref="W17:Z20">
    <cfRule type="expression" priority="62" dxfId="14" stopIfTrue="1">
      <formula>AND(W17&lt;5,W17&gt;=0,W17&lt;&gt;"",W17=BM17)</formula>
    </cfRule>
    <cfRule type="expression" priority="63" dxfId="13" stopIfTrue="1">
      <formula>W17=BM17</formula>
    </cfRule>
    <cfRule type="expression" priority="64" dxfId="12" stopIfTrue="1">
      <formula>AND(W17&lt;5,W17&gt;=0,W17&lt;&gt;"")</formula>
    </cfRule>
  </conditionalFormatting>
  <conditionalFormatting sqref="W9:Z9">
    <cfRule type="expression" priority="58" dxfId="14" stopIfTrue="1">
      <formula>AND(W9&lt;5,W9&lt;&gt;"",W9=BM9)</formula>
    </cfRule>
  </conditionalFormatting>
  <conditionalFormatting sqref="W21:X22">
    <cfRule type="expression" priority="15" dxfId="14" stopIfTrue="1">
      <formula>AND(W21&lt;5,W21&gt;=0,W21&lt;&gt;"",W21=BM21)</formula>
    </cfRule>
    <cfRule type="expression" priority="70" dxfId="12" stopIfTrue="1">
      <formula>AND(W21&lt;5,W21&gt;=0,W21&lt;&gt;"")</formula>
    </cfRule>
  </conditionalFormatting>
  <conditionalFormatting sqref="W23:Z23">
    <cfRule type="expression" priority="51" dxfId="12" stopIfTrue="1">
      <formula>AND(BM23&lt;5,BM23&gt;=0,BM23&lt;&gt;"")</formula>
    </cfRule>
  </conditionalFormatting>
  <conditionalFormatting sqref="J21:K21">
    <cfRule type="expression" priority="49" dxfId="12" stopIfTrue="1">
      <formula>AND($D21&lt;&gt;"",J21&lt;5,J21&lt;&gt;"")</formula>
    </cfRule>
    <cfRule type="expression" priority="56" dxfId="31" stopIfTrue="1">
      <formula>$D21&lt;&gt;""</formula>
    </cfRule>
  </conditionalFormatting>
  <conditionalFormatting sqref="K22">
    <cfRule type="expression" priority="46" dxfId="12" stopIfTrue="1">
      <formula>AND(K22&lt;5,K22&gt;=0,K22&lt;&gt;"")</formula>
    </cfRule>
    <cfRule type="expression" priority="48" dxfId="31" stopIfTrue="1">
      <formula>D22&lt;&gt;""</formula>
    </cfRule>
  </conditionalFormatting>
  <conditionalFormatting sqref="J22">
    <cfRule type="expression" priority="45" dxfId="31" stopIfTrue="1">
      <formula>D22&lt;&gt;""</formula>
    </cfRule>
    <cfRule type="expression" priority="47" dxfId="12" stopIfTrue="1">
      <formula>AND(J22&lt;5,J22&gt;=0,J22&lt;&gt;"")</formula>
    </cfRule>
  </conditionalFormatting>
  <conditionalFormatting sqref="W24:Z24">
    <cfRule type="expression" priority="59" dxfId="14" stopIfTrue="1">
      <formula>AND(W24&lt;5,W24&gt;=0,W24&lt;&gt;"",W24=BM24)</formula>
    </cfRule>
    <cfRule type="expression" priority="60" dxfId="13" stopIfTrue="1">
      <formula>BM24=W24</formula>
    </cfRule>
    <cfRule type="expression" priority="61" dxfId="12" stopIfTrue="1">
      <formula>AND(W24&lt;5,W24&gt;=0,W24&lt;&gt;"")</formula>
    </cfRule>
  </conditionalFormatting>
  <conditionalFormatting sqref="X25:Z25">
    <cfRule type="expression" priority="42" dxfId="14" stopIfTrue="1">
      <formula>AND(X25&lt;5,X25&gt;=0,X25&lt;&gt;"",X25=BN25)</formula>
    </cfRule>
    <cfRule type="expression" priority="43" dxfId="13" stopIfTrue="1">
      <formula>BN25=X25</formula>
    </cfRule>
    <cfRule type="expression" priority="44" dxfId="12" stopIfTrue="1">
      <formula>AND(X25&lt;5,X25&gt;=0,X25&lt;&gt;"")</formula>
    </cfRule>
  </conditionalFormatting>
  <conditionalFormatting sqref="W26:Z26 W25">
    <cfRule type="expression" priority="39" dxfId="14" stopIfTrue="1">
      <formula>AND(W25&lt;5,W25&gt;=0,W25&lt;&gt;"",W25=BM25)</formula>
    </cfRule>
    <cfRule type="expression" priority="40" dxfId="13" stopIfTrue="1">
      <formula>BM25=W25</formula>
    </cfRule>
    <cfRule type="expression" priority="41" dxfId="12" stopIfTrue="1">
      <formula>AND(W25&lt;5,W25&gt;=0,W25&lt;&gt;"")</formula>
    </cfRule>
  </conditionalFormatting>
  <conditionalFormatting sqref="W27:Z27">
    <cfRule type="expression" priority="36" dxfId="14" stopIfTrue="1">
      <formula>AND(W27&lt;5,W27&gt;=0,W27&lt;&gt;"",W27=BM27)</formula>
    </cfRule>
    <cfRule type="expression" priority="37" dxfId="13" stopIfTrue="1">
      <formula>BM27=W27</formula>
    </cfRule>
    <cfRule type="expression" priority="38" dxfId="12" stopIfTrue="1">
      <formula>AND(W27&lt;5,W27&gt;=0,W27&lt;&gt;"")</formula>
    </cfRule>
  </conditionalFormatting>
  <conditionalFormatting sqref="W28:Z28">
    <cfRule type="expression" priority="33" dxfId="14" stopIfTrue="1">
      <formula>AND(W28&lt;5,W28&gt;=0,W28&lt;&gt;"",W28=BM28)</formula>
    </cfRule>
    <cfRule type="expression" priority="34" dxfId="13" stopIfTrue="1">
      <formula>BM28=W28</formula>
    </cfRule>
    <cfRule type="expression" priority="35" dxfId="12" stopIfTrue="1">
      <formula>AND(W28&lt;5,W28&gt;=0,W28&lt;&gt;"")</formula>
    </cfRule>
  </conditionalFormatting>
  <conditionalFormatting sqref="W29:Z29">
    <cfRule type="expression" priority="30" dxfId="14" stopIfTrue="1">
      <formula>AND(W29&lt;5,W29&gt;=0,W29&lt;&gt;"",W29=BM29)</formula>
    </cfRule>
    <cfRule type="expression" priority="31" dxfId="13" stopIfTrue="1">
      <formula>BM29=W29</formula>
    </cfRule>
    <cfRule type="expression" priority="32" dxfId="12" stopIfTrue="1">
      <formula>AND(W29&lt;5,W29&gt;=0,W29&lt;&gt;"")</formula>
    </cfRule>
  </conditionalFormatting>
  <conditionalFormatting sqref="W30:Z30">
    <cfRule type="expression" priority="27" dxfId="14" stopIfTrue="1">
      <formula>AND(W30&lt;5,W30&gt;=0,W30&lt;&gt;"",W30=BM30)</formula>
    </cfRule>
    <cfRule type="expression" priority="28" dxfId="13" stopIfTrue="1">
      <formula>BM30=W30</formula>
    </cfRule>
    <cfRule type="expression" priority="29" dxfId="12" stopIfTrue="1">
      <formula>AND(W30&lt;5,W30&gt;=0,W30&lt;&gt;"")</formula>
    </cfRule>
  </conditionalFormatting>
  <conditionalFormatting sqref="H14:I14">
    <cfRule type="expression" priority="21" dxfId="27" stopIfTrue="1">
      <formula>AND($D14&lt;&gt;"",H14&lt;5,H14&lt;&gt;"")</formula>
    </cfRule>
    <cfRule type="expression" priority="73" dxfId="31" stopIfTrue="1">
      <formula>OR(AND($D$15="",$D$16=""),$L$15&lt;2)</formula>
    </cfRule>
  </conditionalFormatting>
  <conditionalFormatting sqref="H15:I15">
    <cfRule type="expression" priority="24" dxfId="27" stopIfTrue="1">
      <formula>AND($D15&lt;&gt;"",H15&lt;5,H15&lt;&gt;"")</formula>
    </cfRule>
    <cfRule type="expression" priority="25" dxfId="31" stopIfTrue="1">
      <formula>AND(OR($D$15="LI",$D$15="IV",$D$15="IV CO"),$L$15=2)</formula>
    </cfRule>
  </conditionalFormatting>
  <conditionalFormatting sqref="H17:I17">
    <cfRule type="expression" priority="23" dxfId="27" stopIfTrue="1">
      <formula>AND($D17&lt;&gt;"",H17&lt;5,H17&lt;&gt;"")</formula>
    </cfRule>
  </conditionalFormatting>
  <conditionalFormatting sqref="H16:I16">
    <cfRule type="expression" priority="22" dxfId="27" stopIfTrue="1">
      <formula>AND($D16&lt;&gt;"",H16&lt;5,H16&lt;&gt;"")</formula>
    </cfRule>
  </conditionalFormatting>
  <conditionalFormatting sqref="F38:G38">
    <cfRule type="expression" priority="20" dxfId="28" stopIfTrue="1">
      <formula>$F$38&lt;34</formula>
    </cfRule>
  </conditionalFormatting>
  <conditionalFormatting sqref="H9:K10">
    <cfRule type="expression" priority="16" dxfId="27" stopIfTrue="1">
      <formula>AND($D9&lt;&gt;"",H9&lt;5,H9&lt;&gt;"")</formula>
    </cfRule>
  </conditionalFormatting>
  <conditionalFormatting sqref="H11:K11">
    <cfRule type="expression" priority="17" dxfId="12" stopIfTrue="1">
      <formula>AND(H11&lt;5,H11&gt;=0,H11&lt;&gt;"",$D11&lt;&gt;"")</formula>
    </cfRule>
    <cfRule type="expression" priority="18" dxfId="25" stopIfTrue="1">
      <formula>OR($E11&lt;&gt;"",AND($D11&lt;&gt;"",$D25=""))</formula>
    </cfRule>
    <cfRule type="expression" priority="19" dxfId="24" stopIfTrue="1">
      <formula>AND($D11&lt;&gt;"",$D$25&lt;&gt;"")</formula>
    </cfRule>
  </conditionalFormatting>
  <conditionalFormatting sqref="Y21">
    <cfRule type="expression" priority="12" dxfId="14" stopIfTrue="1">
      <formula>AND(Y21&lt;5,Y21&gt;=0,Y21&lt;&gt;"",Y21=BO21)</formula>
    </cfRule>
    <cfRule type="expression" priority="13" dxfId="13" stopIfTrue="1">
      <formula>Y21=BO21</formula>
    </cfRule>
    <cfRule type="expression" priority="14" dxfId="12" stopIfTrue="1">
      <formula>AND(Y21&lt;5,Y21&gt;=0,Y21&lt;&gt;"")</formula>
    </cfRule>
  </conditionalFormatting>
  <conditionalFormatting sqref="Z21">
    <cfRule type="expression" priority="7" dxfId="14" stopIfTrue="1">
      <formula>AND(Z21&lt;5,Z21&gt;=0,Z21&lt;&gt;"",Z21=BP21)</formula>
    </cfRule>
    <cfRule type="expression" priority="8" dxfId="13" stopIfTrue="1">
      <formula>Z21=BP21</formula>
    </cfRule>
    <cfRule type="expression" priority="9" dxfId="12" stopIfTrue="1">
      <formula>AND(Z21&lt;5,Z21&gt;=0,Z21&lt;&gt;"")</formula>
    </cfRule>
  </conditionalFormatting>
  <conditionalFormatting sqref="Y22">
    <cfRule type="expression" priority="4" dxfId="14" stopIfTrue="1">
      <formula>AND(Y22&lt;5,Y22&gt;=0,Y22&lt;&gt;"",Y22=BO22)</formula>
    </cfRule>
    <cfRule type="expression" priority="5" dxfId="13" stopIfTrue="1">
      <formula>Y22=BO22</formula>
    </cfRule>
    <cfRule type="expression" priority="6" dxfId="12" stopIfTrue="1">
      <formula>AND(Y22&lt;5,Y22&gt;=0,Y22&lt;&gt;"")</formula>
    </cfRule>
  </conditionalFormatting>
  <conditionalFormatting sqref="Z22">
    <cfRule type="expression" priority="1" dxfId="14" stopIfTrue="1">
      <formula>AND(Z22&lt;5,Z22&gt;=0,Z22&lt;&gt;"",Z22=BP22)</formula>
    </cfRule>
    <cfRule type="expression" priority="2" dxfId="13" stopIfTrue="1">
      <formula>Z22=BP22</formula>
    </cfRule>
    <cfRule type="expression" priority="3" dxfId="12" stopIfTrue="1">
      <formula>AND(Z22&lt;5,Z22&gt;=0,Z22&lt;&gt;"")</formula>
    </cfRule>
  </conditionalFormatting>
  <dataValidations count="18">
    <dataValidation type="whole" operator="equal" allowBlank="1" showInputMessage="1" showErrorMessage="1" errorTitle="Wochenstunden VTF" error="Jedes Vertiefungsfach wird &#10;&#10;2-stündig unterrichtet." sqref="F34:G36">
      <formula1>2</formula1>
    </dataValidation>
    <dataValidation type="list" allowBlank="1" showInputMessage="1" showErrorMessage="1" sqref="D13">
      <formula1>$D$249:$D$252</formula1>
    </dataValidation>
    <dataValidation type="list" allowBlank="1" showInputMessage="1" showErrorMessage="1" error="Hier nur IF eingeben!&#10;" sqref="D27">
      <formula1>$O$249:$O$254</formula1>
    </dataValidation>
    <dataValidation allowBlank="1" showErrorMessage="1" sqref="AO9:AR36 W34:Z36 W9:Z31"/>
    <dataValidation type="whole" operator="equal" allowBlank="1" showInputMessage="1" showErrorMessage="1" errorTitle="Wochenstunden" error="In der EF haben alle Kurse bis auf die neue Fremdsprache 3 Stunden." sqref="F9:G9 F31:G31 F13:G29">
      <formula1>3</formula1>
    </dataValidation>
    <dataValidation type="whole" allowBlank="1" showInputMessage="1" showErrorMessage="1" errorTitle="Wochenstunden" error="In der EF haben alle Kurse bis auf &#10;&#10;die neue Fremdsprache 3 Stunden." sqref="F10:G12">
      <formula1>3</formula1>
      <formula2>4</formula2>
    </dataValidation>
    <dataValidation type="whole" operator="equal" allowBlank="1" showInputMessage="1" showErrorMessage="1" sqref="H34:K36">
      <formula1>2</formula1>
    </dataValidation>
    <dataValidation type="list" allowBlank="1" showInputMessage="1" showErrorMessage="1" sqref="D28:D29">
      <formula1>$I$262:$I$265</formula1>
    </dataValidation>
    <dataValidation type="list" allowBlank="1" showInputMessage="1" showErrorMessage="1" sqref="D34:D36">
      <formula1>$K$262:$K$266</formula1>
    </dataValidation>
    <dataValidation type="list" allowBlank="1" showInputMessage="1" showErrorMessage="1" errorTitle="Hinweis zu Informatik" error="Informatik kann nicht 1.NW sein.&#10;&#10;IF bitte in der letzten Zeile der NW eingeben!&#10;" sqref="D24:D26">
      <formula1>$M$249:$M$255</formula1>
    </dataValidation>
    <dataValidation type="list" allowBlank="1" showInputMessage="1" showErrorMessage="1" sqref="D15:D16">
      <formula1>$I$249:$I$255</formula1>
    </dataValidation>
    <dataValidation type="list" allowBlank="1" showInputMessage="1" showErrorMessage="1" sqref="D17:D20">
      <formula1>$K$249:$K$257</formula1>
    </dataValidation>
    <dataValidation type="list" allowBlank="1" showInputMessage="1" showErrorMessage="1" errorTitle="Sprachenbelegung" error="Nur die Eingabe von E, F, F0 oder S0 möglich,&#10;Latein nur in der letzten Zeile!" sqref="D10:D12">
      <formula1>$B$249:$B$255</formula1>
    </dataValidation>
    <dataValidation type="list" allowBlank="1" showInputMessage="1" showErrorMessage="1" sqref="O10:P12 O24:P27">
      <formula1>$S$249:$S$251</formula1>
    </dataValidation>
    <dataValidation type="list" allowBlank="1" showInputMessage="1" showErrorMessage="1" sqref="D31:D33">
      <formula1>$M$263</formula1>
    </dataValidation>
    <dataValidation type="list" allowBlank="1" showInputMessage="1" showErrorMessage="1" sqref="D14">
      <formula1>$I$249:$I$251</formula1>
    </dataValidation>
    <dataValidation type="list" allowBlank="1" showInputMessage="1" showErrorMessage="1" sqref="H9:I20 H23:I33 J9:K33">
      <formula1>$T$249:$T$266</formula1>
    </dataValidation>
    <dataValidation type="custom" operator="equal" allowBlank="1" showInputMessage="1" showErrorMessage="1" errorTitle="Wochenstunden" error="In der EF haben alle Kurse bis auf die neue Fremdsprache 3 Stunden." sqref="F30:G30">
      <formula1>OR(F30=3,F30="AT")</formula1>
    </dataValidation>
  </dataValidations>
  <printOptions/>
  <pageMargins left="0.1968503937007874" right="0.1968503937007874" top="0.7874015748031497" bottom="0.5905511811023623" header="0.5118110236220472" footer="0.5118110236220472"/>
  <pageSetup fitToHeight="1" fitToWidth="1" horizontalDpi="300" verticalDpi="300" orientation="landscape" paperSize="9" r:id="rId3"/>
  <ignoredErrors>
    <ignoredError sqref="AA9:AA11 AA17:AA18 AA23:AA26 AA28:AA30 AA14" formulaRange="1"/>
  </ignoredErrors>
  <legacyDrawing r:id="rId2"/>
</worksheet>
</file>

<file path=xl/worksheets/sheet4.xml><?xml version="1.0" encoding="utf-8"?>
<worksheet xmlns="http://schemas.openxmlformats.org/spreadsheetml/2006/main" xmlns:r="http://schemas.openxmlformats.org/officeDocument/2006/relationships">
  <dimension ref="A2:GB34"/>
  <sheetViews>
    <sheetView zoomScalePageLayoutView="0" workbookViewId="0" topLeftCell="R1">
      <selection activeCell="AJ13" sqref="AJ13"/>
    </sheetView>
  </sheetViews>
  <sheetFormatPr defaultColWidth="11.421875" defaultRowHeight="12.75"/>
  <cols>
    <col min="1" max="16" width="7.57421875" style="0" customWidth="1"/>
    <col min="17" max="30" width="7.28125" style="0" customWidth="1"/>
    <col min="31" max="31" width="8.00390625" style="0" customWidth="1"/>
    <col min="32" max="39" width="7.28125" style="0" customWidth="1"/>
  </cols>
  <sheetData>
    <row r="2" ht="12.75">
      <c r="F2" s="625">
        <f>Zulassung!E17</f>
        <v>0</v>
      </c>
    </row>
    <row r="3" ht="12.75">
      <c r="F3" s="625">
        <f>Zulassung!E18</f>
        <v>0</v>
      </c>
    </row>
    <row r="4" ht="12.75">
      <c r="F4" s="625">
        <f>Zulassung!E19</f>
        <v>0</v>
      </c>
    </row>
    <row r="5" spans="6:59" ht="12.75">
      <c r="F5" s="625">
        <f>Zulassung!E20</f>
        <v>0</v>
      </c>
      <c r="BE5" s="107"/>
      <c r="BF5" s="107"/>
      <c r="BG5" s="107"/>
    </row>
    <row r="6" spans="6:180" s="33" customFormat="1" ht="19.5" customHeight="1">
      <c r="F6" s="625">
        <f>Zulassung!E28</f>
      </c>
      <c r="J6" s="86"/>
      <c r="K6" s="86"/>
      <c r="L6" s="91"/>
      <c r="M6" s="86"/>
      <c r="N6" s="77"/>
      <c r="O6" s="78"/>
      <c r="T6" s="89"/>
      <c r="U6" s="34"/>
      <c r="V6" s="34"/>
      <c r="W6" s="34"/>
      <c r="X6" s="248"/>
      <c r="Y6" s="34"/>
      <c r="AC6" s="78"/>
      <c r="AD6" s="1024"/>
      <c r="AE6" s="78"/>
      <c r="AF6" s="78"/>
      <c r="AG6" s="78"/>
      <c r="AH6" s="78"/>
      <c r="AI6" s="78"/>
      <c r="AJ6" s="78"/>
      <c r="AO6" s="61"/>
      <c r="AP6" s="61"/>
      <c r="AQ6" s="61"/>
      <c r="AR6" s="61"/>
      <c r="AS6" s="61"/>
      <c r="AT6" s="61"/>
      <c r="AU6" s="61"/>
      <c r="AV6" s="61"/>
      <c r="AW6" s="61"/>
      <c r="AX6" s="61"/>
      <c r="AY6" s="61"/>
      <c r="AZ6" s="61"/>
      <c r="BA6" s="61"/>
      <c r="BB6" s="61"/>
      <c r="BC6" s="61"/>
      <c r="BD6" s="61"/>
      <c r="BE6" s="255"/>
      <c r="BF6" s="248"/>
      <c r="BG6" s="248"/>
      <c r="BH6" s="61"/>
      <c r="BI6" s="61"/>
      <c r="BJ6" s="61"/>
      <c r="BK6" s="248"/>
      <c r="BL6" s="255"/>
      <c r="BM6" s="61"/>
      <c r="BN6" s="61"/>
      <c r="BO6" s="61"/>
      <c r="BP6" s="61"/>
      <c r="BQ6" s="248"/>
      <c r="BR6" s="248"/>
      <c r="BS6" s="248"/>
      <c r="BT6" s="419"/>
      <c r="BU6" s="34"/>
      <c r="BV6" s="334"/>
      <c r="BW6" s="334"/>
      <c r="BX6" s="248"/>
      <c r="BY6" s="248"/>
      <c r="BZ6" s="248"/>
      <c r="CA6" s="248"/>
      <c r="CB6" s="248"/>
      <c r="CC6" s="248"/>
      <c r="CD6" s="61"/>
      <c r="CG6" s="248"/>
      <c r="CH6" s="248"/>
      <c r="CI6" s="248"/>
      <c r="CJ6" s="61"/>
      <c r="CM6" s="248"/>
      <c r="CN6" s="248"/>
      <c r="CO6" s="248"/>
      <c r="CP6" s="61"/>
      <c r="CS6" s="248"/>
      <c r="CT6" s="248"/>
      <c r="CU6" s="248"/>
      <c r="CV6" s="61"/>
      <c r="CY6" s="248"/>
      <c r="CZ6" s="248"/>
      <c r="DA6" s="248"/>
      <c r="DB6" s="61"/>
      <c r="DE6" s="248"/>
      <c r="DF6" s="248"/>
      <c r="DG6" s="248"/>
      <c r="DH6" s="61"/>
      <c r="DK6" s="248"/>
      <c r="DL6" s="248"/>
      <c r="DM6" s="248"/>
      <c r="DN6" s="61"/>
      <c r="DQ6" s="248"/>
      <c r="DR6" s="248"/>
      <c r="DS6" s="248"/>
      <c r="DT6" s="61"/>
      <c r="DW6" s="248"/>
      <c r="DX6" s="248"/>
      <c r="DY6" s="248"/>
      <c r="DZ6" s="61"/>
      <c r="EC6" s="248"/>
      <c r="ED6" s="248"/>
      <c r="EE6" s="248"/>
      <c r="EF6" s="61"/>
      <c r="EI6" s="248"/>
      <c r="EJ6" s="248"/>
      <c r="EK6" s="248"/>
      <c r="EL6" s="61"/>
      <c r="EO6" s="248"/>
      <c r="EP6" s="248"/>
      <c r="EQ6" s="248"/>
      <c r="ER6" s="61"/>
      <c r="ES6" s="325"/>
      <c r="FH6" s="86"/>
      <c r="FI6" s="86"/>
      <c r="FJ6" s="91"/>
      <c r="FK6" s="86"/>
      <c r="FL6" s="77"/>
      <c r="FM6" s="1443"/>
      <c r="FN6" s="1443"/>
      <c r="FW6" s="89"/>
      <c r="FX6" s="34"/>
    </row>
    <row r="7" spans="6:183" s="33" customFormat="1" ht="12.75">
      <c r="F7" s="625">
        <f>Zulassung!E29</f>
      </c>
      <c r="N7" s="1442" t="s">
        <v>281</v>
      </c>
      <c r="Q7" s="623" t="s">
        <v>308</v>
      </c>
      <c r="R7" s="597" t="e">
        <f ca="1">IF(AND(ISNA(MATCH("s",Zulassung!$O$10:$O$12,0))=FALSE,INDIRECT("Zulassung!$L"&amp;MATCH("s",Zulassung!$O$10:$O$12,0)+9)=4),"W",IF(OR(INDIRECT("Zulassung!D"&amp;MATCH("s",Zulassung!O10:O13,0)+9)="",COUNTIF(Zulassung!O10:O12,"s")&gt;COUNTA(Zulassung!D10:D12),INDIRECT("Zulassung!$L"&amp;MATCH("s",Zulassung!$O$10:$O$12,0)+9)&lt;&gt;4),"F","W"))</f>
        <v>#N/A</v>
      </c>
      <c r="T7" s="89"/>
      <c r="U7" s="34"/>
      <c r="V7" s="34"/>
      <c r="W7" s="34"/>
      <c r="X7" s="34"/>
      <c r="Y7" s="34"/>
      <c r="AB7" s="33" t="e">
        <f>"'Zulassung'!F"&amp;16+MATCH("PL",Zulassung!$D$17:$D$20,0)</f>
        <v>#N/A</v>
      </c>
      <c r="AC7" s="78"/>
      <c r="AD7" s="78"/>
      <c r="AE7" s="78"/>
      <c r="AF7" s="78"/>
      <c r="AG7" s="78"/>
      <c r="AH7" s="78"/>
      <c r="AI7" s="78"/>
      <c r="AJ7" s="78"/>
      <c r="AO7" s="61"/>
      <c r="AP7" s="61"/>
      <c r="AQ7" s="61"/>
      <c r="AR7" s="61"/>
      <c r="AS7" s="61"/>
      <c r="AT7" s="61"/>
      <c r="AU7" s="61"/>
      <c r="AV7" s="61"/>
      <c r="AW7" s="61"/>
      <c r="AX7" s="61"/>
      <c r="AY7" s="61"/>
      <c r="AZ7" s="61"/>
      <c r="BA7" s="61"/>
      <c r="BB7" s="61"/>
      <c r="BC7" s="61"/>
      <c r="BD7" s="61"/>
      <c r="BE7" s="248"/>
      <c r="BF7" s="248"/>
      <c r="BG7" s="248"/>
      <c r="BH7" s="61"/>
      <c r="BI7" s="61"/>
      <c r="BJ7" s="61"/>
      <c r="BK7" s="248"/>
      <c r="BL7" s="255"/>
      <c r="BM7" s="61"/>
      <c r="BN7" s="61"/>
      <c r="BO7" s="61"/>
      <c r="BP7" s="61"/>
      <c r="BQ7" s="248"/>
      <c r="BR7" s="248"/>
      <c r="BS7" s="248"/>
      <c r="BT7" s="419"/>
      <c r="BU7" s="34"/>
      <c r="BV7" s="334"/>
      <c r="BW7" s="334"/>
      <c r="BX7" s="248"/>
      <c r="BY7" s="248"/>
      <c r="BZ7" s="248"/>
      <c r="CA7" s="248"/>
      <c r="CB7" s="248"/>
      <c r="CC7" s="248"/>
      <c r="CD7" s="61"/>
      <c r="CG7" s="248"/>
      <c r="CH7" s="248"/>
      <c r="CI7" s="248"/>
      <c r="CJ7" s="61"/>
      <c r="CM7" s="248"/>
      <c r="CN7" s="248"/>
      <c r="CO7" s="248"/>
      <c r="CP7" s="61"/>
      <c r="CS7" s="248"/>
      <c r="CT7" s="248"/>
      <c r="CU7" s="248"/>
      <c r="CV7" s="61"/>
      <c r="CY7" s="248"/>
      <c r="CZ7" s="248"/>
      <c r="DA7" s="248"/>
      <c r="DB7" s="61"/>
      <c r="DE7" s="248"/>
      <c r="DF7" s="248"/>
      <c r="DG7" s="248"/>
      <c r="DH7" s="61"/>
      <c r="DK7" s="248"/>
      <c r="DL7" s="248"/>
      <c r="DM7" s="248"/>
      <c r="DN7" s="61"/>
      <c r="DQ7" s="248"/>
      <c r="DR7" s="248"/>
      <c r="DS7" s="248"/>
      <c r="DT7" s="61"/>
      <c r="DW7" s="248"/>
      <c r="DX7" s="248"/>
      <c r="DY7" s="248"/>
      <c r="DZ7" s="61"/>
      <c r="EC7" s="248"/>
      <c r="ED7" s="248"/>
      <c r="EE7" s="248"/>
      <c r="EF7" s="61"/>
      <c r="EI7" s="248"/>
      <c r="EJ7" s="248"/>
      <c r="EK7" s="248"/>
      <c r="EL7" s="61"/>
      <c r="EO7" s="248"/>
      <c r="EP7" s="248"/>
      <c r="EQ7" s="248"/>
      <c r="ER7" s="61"/>
      <c r="ES7" s="325"/>
      <c r="FM7" s="290"/>
      <c r="FN7" s="290"/>
      <c r="FO7" s="290"/>
      <c r="FP7" s="290"/>
      <c r="FQ7" s="290"/>
      <c r="FR7" s="290"/>
      <c r="FS7" s="290"/>
      <c r="FT7" s="290"/>
      <c r="FU7" s="290"/>
      <c r="FV7" s="290"/>
      <c r="FW7" s="89"/>
      <c r="FX7" s="34"/>
      <c r="FY7" s="290"/>
      <c r="FZ7" s="290"/>
      <c r="GA7" s="290"/>
    </row>
    <row r="8" spans="14:183" s="33" customFormat="1" ht="12.75">
      <c r="N8" s="1442"/>
      <c r="Q8" s="623" t="s">
        <v>309</v>
      </c>
      <c r="R8" s="597" t="e">
        <f ca="1">IF(AND(ISNA(MATCH("s",Zulassung!$O$24:$O$27,0))=TRUE,Zulassung!E24&amp;Zulassung!E25&amp;Zulassung!E26&amp;Zulassung!E27&lt;&gt;""),"W",IF(AND(ISNA(MATCH("s",Zulassung!$O$24:$O$27,0))=FALSE,INDIRECT("Zulassung!$L"&amp;MATCH("s",Zulassung!$O$24:$O$27,0)+23)=4),"W",IF(OR(INDIRECT("Zulassung!D"&amp;MATCH("s",Zulassung!$O$24:$O$27,0)+9)="",COUNTIF(Zulassung!$O$24:$O$27,"s")&gt;COUNTA(Zulassung!$D$24:$D$27),INDIRECT("Zulassung!$L"&amp;MATCH("s",Zulassung!$O$24:$O$27,0)+23)&lt;&gt;4),"F","W")))</f>
        <v>#N/A</v>
      </c>
      <c r="T8" s="89"/>
      <c r="U8" s="34"/>
      <c r="V8" s="34"/>
      <c r="W8" s="34"/>
      <c r="X8" s="248"/>
      <c r="Y8" s="34"/>
      <c r="AB8" s="33" t="e">
        <f>"'Zulassung'!G"&amp;16+MATCH("PL",Zulassung!$D$17:$D$20,0)</f>
        <v>#N/A</v>
      </c>
      <c r="AC8" s="78"/>
      <c r="AD8" s="78"/>
      <c r="AE8" s="78"/>
      <c r="AF8" s="78"/>
      <c r="AG8" s="78"/>
      <c r="AH8" s="78"/>
      <c r="AI8" s="78"/>
      <c r="AJ8" s="78"/>
      <c r="AO8" s="61"/>
      <c r="AP8" s="61"/>
      <c r="AQ8" s="61"/>
      <c r="AR8" s="61"/>
      <c r="AS8" s="61"/>
      <c r="AT8" s="61"/>
      <c r="AU8" s="61"/>
      <c r="AV8" s="61"/>
      <c r="AW8" s="61"/>
      <c r="AX8" s="61"/>
      <c r="AY8" s="61"/>
      <c r="AZ8" s="61"/>
      <c r="BA8" s="61"/>
      <c r="BB8" s="61"/>
      <c r="BC8" s="61"/>
      <c r="BD8" s="61"/>
      <c r="BE8" s="248"/>
      <c r="BF8" s="248"/>
      <c r="BG8" s="248"/>
      <c r="BH8" s="61"/>
      <c r="BI8" s="61"/>
      <c r="BJ8" s="61"/>
      <c r="BK8" s="248"/>
      <c r="BL8" s="255"/>
      <c r="BM8" s="61"/>
      <c r="BN8" s="61"/>
      <c r="BO8" s="61"/>
      <c r="BP8" s="61"/>
      <c r="BQ8" s="248"/>
      <c r="BR8" s="248"/>
      <c r="BS8" s="248"/>
      <c r="BT8" s="419"/>
      <c r="BU8" s="34"/>
      <c r="BV8" s="334"/>
      <c r="BW8" s="334"/>
      <c r="BX8" s="248"/>
      <c r="BY8" s="248"/>
      <c r="BZ8" s="248"/>
      <c r="CA8" s="248"/>
      <c r="CB8" s="248"/>
      <c r="CC8" s="248"/>
      <c r="CD8" s="61"/>
      <c r="CG8" s="248"/>
      <c r="CH8" s="248"/>
      <c r="CI8" s="248"/>
      <c r="CJ8" s="61"/>
      <c r="CM8" s="248"/>
      <c r="CN8" s="248"/>
      <c r="CO8" s="248"/>
      <c r="CP8" s="61"/>
      <c r="CS8" s="248"/>
      <c r="CT8" s="248"/>
      <c r="CU8" s="248"/>
      <c r="CV8" s="61"/>
      <c r="CY8" s="248"/>
      <c r="CZ8" s="248"/>
      <c r="DA8" s="248"/>
      <c r="DB8" s="61"/>
      <c r="DE8" s="248"/>
      <c r="DF8" s="248"/>
      <c r="DG8" s="248"/>
      <c r="DH8" s="61"/>
      <c r="DK8" s="248"/>
      <c r="DL8" s="248"/>
      <c r="DM8" s="248"/>
      <c r="DN8" s="61"/>
      <c r="DQ8" s="248"/>
      <c r="DR8" s="248"/>
      <c r="DS8" s="248"/>
      <c r="DT8" s="61"/>
      <c r="DW8" s="248"/>
      <c r="DX8" s="248"/>
      <c r="DY8" s="248"/>
      <c r="DZ8" s="61"/>
      <c r="EC8" s="248"/>
      <c r="ED8" s="248"/>
      <c r="EE8" s="248"/>
      <c r="EF8" s="61"/>
      <c r="EI8" s="248"/>
      <c r="EJ8" s="248"/>
      <c r="EK8" s="248"/>
      <c r="EL8" s="61"/>
      <c r="EO8" s="248"/>
      <c r="EP8" s="248"/>
      <c r="EQ8" s="248"/>
      <c r="ER8" s="61"/>
      <c r="ES8" s="325"/>
      <c r="FM8" s="290"/>
      <c r="FN8" s="290"/>
      <c r="FO8" s="290"/>
      <c r="FP8" s="290"/>
      <c r="FQ8" s="290"/>
      <c r="FR8" s="290"/>
      <c r="FS8" s="290"/>
      <c r="FT8" s="290"/>
      <c r="FU8" s="290"/>
      <c r="FV8" s="290"/>
      <c r="FW8" s="89"/>
      <c r="FX8" s="34"/>
      <c r="FY8" s="290"/>
      <c r="FZ8" s="290"/>
      <c r="GA8" s="290"/>
    </row>
    <row r="9" spans="10:183" s="33" customFormat="1" ht="12.75">
      <c r="J9" s="623" t="s">
        <v>39</v>
      </c>
      <c r="K9" s="624" t="str">
        <f>IF(ISNA(MATCH(J9,Zulassung!$D$10:$D$12,0))=TRUE,"W",IF(AND(VLOOKUP(J9,Zulassung!$D$10:$E$12,2,FALSE)&lt;&gt;1,VLOOKUP(J9,Zulassung!$D$10:$E$12,2,FALSE)&lt;&gt;2),"W","F"))</f>
        <v>W</v>
      </c>
      <c r="L9" s="623" t="str">
        <f>IF(ISNA(MATCH(M9,Zulassung!$D$14:$D$16,0))=TRUE,"W",IF(AND(VLOOKUP(M9,Belegkontrolle!$D$14:$E$16,2,FALSE)&lt;&gt;3,VLOOKUP(M9,Zulassung!$D$14:$E$16,2,FALSE)&lt;&gt;4),"W","F"))</f>
        <v>W</v>
      </c>
      <c r="M9" s="597" t="s">
        <v>204</v>
      </c>
      <c r="N9" s="1442"/>
      <c r="Q9" s="623" t="s">
        <v>67</v>
      </c>
      <c r="R9" s="597" t="str">
        <f>IF(OR(Zulassung!O5="",COUNTIF(Zulassung!O10:O12,"s")&gt;=2,AND(COUNTIF(Zulassung!O10:O12,"s")&gt;=1,COUNTIF(Zulassung!O24:O27,"s")&gt;=1)),"W","F")</f>
        <v>W</v>
      </c>
      <c r="T9" s="34"/>
      <c r="U9" s="34"/>
      <c r="V9" s="34"/>
      <c r="W9" s="34"/>
      <c r="X9" s="248"/>
      <c r="Y9" s="34"/>
      <c r="AB9" s="33" t="e">
        <f>"'Zulassung'!H"&amp;16+MATCH("PL",Zulassung!$D$17:$D$20,0)</f>
        <v>#N/A</v>
      </c>
      <c r="AC9" s="78"/>
      <c r="AD9" s="78"/>
      <c r="AE9" s="78"/>
      <c r="AF9" s="78"/>
      <c r="AG9" s="78"/>
      <c r="AH9" s="78"/>
      <c r="AI9" s="78"/>
      <c r="AJ9" s="78"/>
      <c r="AO9" s="61"/>
      <c r="AP9" s="61"/>
      <c r="AQ9" s="61"/>
      <c r="AR9" s="61"/>
      <c r="AS9" s="61"/>
      <c r="AT9" s="61"/>
      <c r="AU9" s="61"/>
      <c r="AV9" s="61"/>
      <c r="AW9" s="61"/>
      <c r="AX9" s="61"/>
      <c r="AY9" s="61"/>
      <c r="AZ9" s="61"/>
      <c r="BA9" s="61"/>
      <c r="BB9" s="61"/>
      <c r="BC9" s="61"/>
      <c r="BD9" s="61"/>
      <c r="BE9" s="248"/>
      <c r="BF9" s="248"/>
      <c r="BG9" s="248"/>
      <c r="BH9" s="61"/>
      <c r="BI9" s="61"/>
      <c r="BJ9" s="61"/>
      <c r="BK9" s="248"/>
      <c r="BL9" s="255"/>
      <c r="BM9" s="61"/>
      <c r="BN9" s="61"/>
      <c r="BO9" s="61"/>
      <c r="BP9" s="61"/>
      <c r="BQ9" s="248"/>
      <c r="BR9" s="248"/>
      <c r="BS9" s="248"/>
      <c r="BT9" s="419"/>
      <c r="BU9" s="34"/>
      <c r="BV9" s="334"/>
      <c r="BW9" s="334"/>
      <c r="BX9" s="248"/>
      <c r="BY9" s="248"/>
      <c r="BZ9" s="248"/>
      <c r="CA9" s="248"/>
      <c r="CB9" s="248"/>
      <c r="CC9" s="248"/>
      <c r="CD9" s="61"/>
      <c r="CG9" s="248"/>
      <c r="CH9" s="248"/>
      <c r="CI9" s="248"/>
      <c r="CJ9" s="61"/>
      <c r="CM9" s="248"/>
      <c r="CN9" s="248"/>
      <c r="CO9" s="248"/>
      <c r="CP9" s="61"/>
      <c r="CS9" s="248"/>
      <c r="CT9" s="248"/>
      <c r="CU9" s="248"/>
      <c r="CV9" s="61"/>
      <c r="CY9" s="248"/>
      <c r="CZ9" s="248"/>
      <c r="DA9" s="248"/>
      <c r="DB9" s="61"/>
      <c r="DE9" s="248"/>
      <c r="DF9" s="248"/>
      <c r="DG9" s="248"/>
      <c r="DH9" s="61"/>
      <c r="DK9" s="248"/>
      <c r="DL9" s="248"/>
      <c r="DM9" s="248"/>
      <c r="DN9" s="61"/>
      <c r="DQ9" s="248"/>
      <c r="DR9" s="248"/>
      <c r="DS9" s="248"/>
      <c r="DT9" s="61"/>
      <c r="DW9" s="248"/>
      <c r="DX9" s="248"/>
      <c r="DY9" s="248"/>
      <c r="DZ9" s="61"/>
      <c r="EC9" s="248"/>
      <c r="ED9" s="248"/>
      <c r="EE9" s="248"/>
      <c r="EF9" s="61"/>
      <c r="EI9" s="248"/>
      <c r="EJ9" s="248"/>
      <c r="EK9" s="248"/>
      <c r="EL9" s="61"/>
      <c r="EO9" s="248"/>
      <c r="EP9" s="248"/>
      <c r="EQ9" s="248"/>
      <c r="ER9" s="61"/>
      <c r="ES9" s="325"/>
      <c r="FM9" s="290"/>
      <c r="FN9" s="290"/>
      <c r="FO9" s="290"/>
      <c r="FP9" s="290"/>
      <c r="FQ9" s="290"/>
      <c r="FR9" s="290"/>
      <c r="FS9" s="290"/>
      <c r="FT9" s="290"/>
      <c r="FU9" s="290"/>
      <c r="FV9" s="290"/>
      <c r="FW9" s="34"/>
      <c r="FX9" s="34"/>
      <c r="FY9" s="290"/>
      <c r="FZ9" s="290"/>
      <c r="GA9" s="290"/>
    </row>
    <row r="10" spans="10:183" s="33" customFormat="1" ht="12.75" customHeight="1">
      <c r="J10" s="623" t="s">
        <v>200</v>
      </c>
      <c r="K10" s="624" t="str">
        <f>IF(ISNA(MATCH(J10,Zulassung!$D$10:$D$12,0))=TRUE,"W",IF(AND(VLOOKUP(J10,Zulassung!$D$10:$E$12,2,FALSE)&lt;&gt;1,VLOOKUP(J10,Zulassung!$D$10:$E$12,2,FALSE)&lt;&gt;2),"W","F"))</f>
        <v>W</v>
      </c>
      <c r="L10" s="623" t="str">
        <f>IF(ISNA(MATCH(M10,Zulassung!$D$14:$D$16,0))=TRUE,"W",IF(AND(VLOOKUP(M10,Zulassung!$D$14:$E$16,2,FALSE)&lt;&gt;3,VLOOKUP(M10,Zulassung!$D$14:$E$16,2,FALSE)&lt;&gt;4),"W","F"))</f>
        <v>W</v>
      </c>
      <c r="M10" s="597" t="s">
        <v>43</v>
      </c>
      <c r="N10" s="597" t="str">
        <f>IF(ISNA(MATCH("?",Zulassung!L9:L36,0))=TRUE,"W","F")</f>
        <v>W</v>
      </c>
      <c r="Q10" s="623" t="s">
        <v>71</v>
      </c>
      <c r="R10" s="597" t="str">
        <f>IF(OR(Zulassung!O5="",COUNTIF(Zulassung!O24:O27,"S")&gt;=1,COUNTIF(Zulassung!O10:O12,"S")&gt;=2),"W","F")</f>
        <v>W</v>
      </c>
      <c r="T10" s="34"/>
      <c r="U10" s="58"/>
      <c r="V10" s="58"/>
      <c r="W10" s="34"/>
      <c r="X10" s="34"/>
      <c r="Y10" s="34"/>
      <c r="AB10" s="33" t="e">
        <f>"'Zulassung'!I"&amp;16+MATCH("PL",Zulassung!$D$17:$D$20,0)</f>
        <v>#N/A</v>
      </c>
      <c r="AC10" s="78"/>
      <c r="AD10" s="78"/>
      <c r="AE10" s="78"/>
      <c r="AF10" s="78"/>
      <c r="AG10" s="78"/>
      <c r="AH10" s="78"/>
      <c r="AI10" s="78"/>
      <c r="AJ10" s="78"/>
      <c r="AO10" s="61"/>
      <c r="AP10" s="61"/>
      <c r="AQ10" s="61"/>
      <c r="AR10" s="61"/>
      <c r="AS10" s="61"/>
      <c r="AT10" s="61"/>
      <c r="AU10" s="61"/>
      <c r="AV10" s="61"/>
      <c r="AW10" s="61"/>
      <c r="AX10" s="61"/>
      <c r="AY10" s="61"/>
      <c r="AZ10" s="61"/>
      <c r="BA10" s="61"/>
      <c r="BB10" s="61"/>
      <c r="BC10" s="61"/>
      <c r="BD10" s="61"/>
      <c r="BE10" s="248"/>
      <c r="BF10" s="248"/>
      <c r="BG10" s="248"/>
      <c r="BH10" s="61"/>
      <c r="BI10" s="61"/>
      <c r="BJ10" s="61"/>
      <c r="BK10" s="248"/>
      <c r="BL10" s="255"/>
      <c r="BM10" s="61"/>
      <c r="BN10" s="61"/>
      <c r="BO10" s="61"/>
      <c r="BP10" s="61"/>
      <c r="BQ10" s="248"/>
      <c r="BR10" s="248"/>
      <c r="BS10" s="248"/>
      <c r="BT10" s="419"/>
      <c r="BU10" s="34"/>
      <c r="BV10" s="334"/>
      <c r="BW10" s="334"/>
      <c r="BX10" s="248"/>
      <c r="BY10" s="248"/>
      <c r="BZ10" s="248"/>
      <c r="CA10" s="248"/>
      <c r="CB10" s="248"/>
      <c r="CC10" s="248"/>
      <c r="CD10" s="61"/>
      <c r="CG10" s="248"/>
      <c r="CH10" s="248"/>
      <c r="CI10" s="248"/>
      <c r="CJ10" s="61"/>
      <c r="CM10" s="248"/>
      <c r="CN10" s="248"/>
      <c r="CO10" s="248"/>
      <c r="CP10" s="61"/>
      <c r="CS10" s="248"/>
      <c r="CT10" s="248"/>
      <c r="CU10" s="248"/>
      <c r="CV10" s="61"/>
      <c r="CY10" s="248"/>
      <c r="CZ10" s="248"/>
      <c r="DA10" s="248"/>
      <c r="DB10" s="61"/>
      <c r="DE10" s="248"/>
      <c r="DF10" s="248"/>
      <c r="DG10" s="248"/>
      <c r="DH10" s="61"/>
      <c r="DK10" s="248"/>
      <c r="DL10" s="248"/>
      <c r="DM10" s="248"/>
      <c r="DN10" s="61"/>
      <c r="DQ10" s="248"/>
      <c r="DR10" s="248"/>
      <c r="DS10" s="248"/>
      <c r="DT10" s="61"/>
      <c r="DW10" s="248"/>
      <c r="DX10" s="248"/>
      <c r="DY10" s="248"/>
      <c r="DZ10" s="61"/>
      <c r="EC10" s="248"/>
      <c r="ED10" s="248"/>
      <c r="EE10" s="248"/>
      <c r="EF10" s="61"/>
      <c r="EI10" s="248"/>
      <c r="EJ10" s="248"/>
      <c r="EK10" s="248"/>
      <c r="EL10" s="61"/>
      <c r="EO10" s="248"/>
      <c r="EP10" s="248"/>
      <c r="EQ10" s="248"/>
      <c r="ER10" s="61"/>
      <c r="ES10" s="325"/>
      <c r="FM10" s="290"/>
      <c r="FN10" s="290"/>
      <c r="FO10" s="290"/>
      <c r="FP10" s="290"/>
      <c r="FQ10" s="290"/>
      <c r="FR10" s="290"/>
      <c r="FS10" s="290"/>
      <c r="FT10" s="290"/>
      <c r="FU10" s="290"/>
      <c r="FV10" s="290"/>
      <c r="FW10" s="34"/>
      <c r="FX10" s="58"/>
      <c r="FY10" s="290"/>
      <c r="FZ10" s="290"/>
      <c r="GA10" s="290"/>
    </row>
    <row r="11" spans="4:184" s="33" customFormat="1" ht="14.25" customHeight="1">
      <c r="D11" s="1442" t="s">
        <v>181</v>
      </c>
      <c r="E11" s="1442"/>
      <c r="F11" s="1442"/>
      <c r="G11" s="1442"/>
      <c r="L11" s="333"/>
      <c r="M11" s="324"/>
      <c r="Q11" s="597"/>
      <c r="R11" s="597" t="str">
        <f>IF(AND(R9="W",R10="W"),"W","F")</f>
        <v>W</v>
      </c>
      <c r="T11" s="58"/>
      <c r="U11" s="58"/>
      <c r="V11" s="58"/>
      <c r="W11" s="34"/>
      <c r="X11" s="248"/>
      <c r="Y11" s="34"/>
      <c r="Z11" s="1438" t="s">
        <v>369</v>
      </c>
      <c r="AC11" s="78"/>
      <c r="AD11" s="78" t="str">
        <f>IF(ISNA(MATCH("F",'Punkte-Berechnung'!AD10:AD35,0))=TRUE,"W","F")</f>
        <v>F</v>
      </c>
      <c r="AE11" s="78"/>
      <c r="AF11" s="78"/>
      <c r="AG11" s="61"/>
      <c r="AH11" s="254"/>
      <c r="AI11" s="78"/>
      <c r="AJ11" s="78"/>
      <c r="AL11"/>
      <c r="AO11" s="61"/>
      <c r="AP11" s="61"/>
      <c r="AQ11" s="61"/>
      <c r="AR11" s="61"/>
      <c r="AS11" s="61"/>
      <c r="AT11" s="61"/>
      <c r="AU11" s="61"/>
      <c r="AV11" s="61"/>
      <c r="AW11" s="61"/>
      <c r="AX11" s="61"/>
      <c r="AY11" s="61"/>
      <c r="AZ11" s="61"/>
      <c r="BA11" s="61"/>
      <c r="BB11" s="61"/>
      <c r="BC11" s="61"/>
      <c r="BD11" s="61"/>
      <c r="BE11" s="248"/>
      <c r="BF11" s="248"/>
      <c r="BG11" s="248"/>
      <c r="BH11" s="61"/>
      <c r="BI11" s="61"/>
      <c r="BJ11" s="61"/>
      <c r="BK11" s="248"/>
      <c r="BL11" s="255"/>
      <c r="BM11" s="61"/>
      <c r="BN11" s="61"/>
      <c r="BO11" s="61"/>
      <c r="BP11" s="61"/>
      <c r="BQ11" s="248"/>
      <c r="BR11" s="248"/>
      <c r="BS11" s="248"/>
      <c r="BT11" s="419"/>
      <c r="BU11" s="34"/>
      <c r="BV11" s="334"/>
      <c r="BW11" s="334"/>
      <c r="BX11" s="248"/>
      <c r="BY11" s="248"/>
      <c r="BZ11" s="248"/>
      <c r="CA11" s="248"/>
      <c r="CB11" s="248"/>
      <c r="CC11" s="248"/>
      <c r="CD11" s="61"/>
      <c r="CG11" s="248"/>
      <c r="CH11" s="248"/>
      <c r="CI11" s="248"/>
      <c r="CJ11" s="61"/>
      <c r="CM11" s="248"/>
      <c r="CN11" s="248"/>
      <c r="CO11" s="248"/>
      <c r="CP11" s="61"/>
      <c r="CS11" s="248"/>
      <c r="CT11" s="248"/>
      <c r="CU11" s="248"/>
      <c r="CV11" s="61"/>
      <c r="CY11" s="248"/>
      <c r="CZ11" s="248"/>
      <c r="DA11" s="248"/>
      <c r="DB11" s="61"/>
      <c r="DE11" s="248"/>
      <c r="DF11" s="248"/>
      <c r="DG11" s="248"/>
      <c r="DH11" s="61"/>
      <c r="DK11" s="248"/>
      <c r="DL11" s="248"/>
      <c r="DM11" s="248"/>
      <c r="DN11" s="61"/>
      <c r="DQ11" s="248"/>
      <c r="DR11" s="248"/>
      <c r="DS11" s="248"/>
      <c r="DT11" s="61"/>
      <c r="DW11" s="248"/>
      <c r="DX11" s="248"/>
      <c r="DY11" s="248"/>
      <c r="DZ11" s="61"/>
      <c r="EC11" s="248"/>
      <c r="ED11" s="248"/>
      <c r="EE11" s="248"/>
      <c r="EF11" s="61"/>
      <c r="EI11" s="248"/>
      <c r="EJ11" s="248"/>
      <c r="EK11" s="248"/>
      <c r="EL11" s="61"/>
      <c r="EO11" s="248"/>
      <c r="EP11" s="248"/>
      <c r="EQ11" s="248"/>
      <c r="ER11" s="61"/>
      <c r="ES11" s="325"/>
      <c r="FM11" s="290"/>
      <c r="FN11" s="290"/>
      <c r="FO11" s="290"/>
      <c r="FP11" s="290"/>
      <c r="FQ11" s="290"/>
      <c r="FR11" s="290"/>
      <c r="FS11" s="290"/>
      <c r="FT11" s="290"/>
      <c r="FU11" s="290"/>
      <c r="FV11" s="290"/>
      <c r="FW11" s="1441"/>
      <c r="FX11" s="1441"/>
      <c r="FY11" s="1441"/>
      <c r="FZ11" s="1441"/>
      <c r="GA11" s="430"/>
      <c r="GB11" s="430"/>
    </row>
    <row r="12" spans="1:183" s="36" customFormat="1" ht="56.25" customHeight="1">
      <c r="A12" s="625">
        <f>MATCH("F",A13:FV13,0)</f>
        <v>4</v>
      </c>
      <c r="B12" s="625" t="str">
        <f>ADDRESS(43,A12,4)</f>
        <v>D43</v>
      </c>
      <c r="C12" s="626" t="s">
        <v>269</v>
      </c>
      <c r="D12" s="626" t="s">
        <v>65</v>
      </c>
      <c r="E12" s="626" t="s">
        <v>64</v>
      </c>
      <c r="F12" s="626" t="s">
        <v>182</v>
      </c>
      <c r="G12" s="627" t="s">
        <v>184</v>
      </c>
      <c r="H12" s="626" t="s">
        <v>365</v>
      </c>
      <c r="I12" s="626" t="s">
        <v>179</v>
      </c>
      <c r="J12" s="627" t="s">
        <v>191</v>
      </c>
      <c r="K12" s="626" t="s">
        <v>197</v>
      </c>
      <c r="L12" s="626" t="s">
        <v>203</v>
      </c>
      <c r="M12" s="629" t="s">
        <v>180</v>
      </c>
      <c r="N12" s="626" t="s">
        <v>61</v>
      </c>
      <c r="O12" s="626" t="s">
        <v>178</v>
      </c>
      <c r="Q12" s="254" t="s">
        <v>307</v>
      </c>
      <c r="R12" s="92" t="s">
        <v>298</v>
      </c>
      <c r="S12" s="320" t="s">
        <v>303</v>
      </c>
      <c r="T12" s="58" t="s">
        <v>75</v>
      </c>
      <c r="U12" s="58" t="s">
        <v>76</v>
      </c>
      <c r="V12" s="58" t="s">
        <v>77</v>
      </c>
      <c r="W12" s="246" t="s">
        <v>397</v>
      </c>
      <c r="X12" s="246" t="s">
        <v>400</v>
      </c>
      <c r="Y12" s="58" t="s">
        <v>355</v>
      </c>
      <c r="Z12" s="1438"/>
      <c r="AA12" s="254" t="s">
        <v>196</v>
      </c>
      <c r="AB12" s="36" t="s">
        <v>358</v>
      </c>
      <c r="AC12" s="254" t="s">
        <v>244</v>
      </c>
      <c r="AD12" s="246" t="s">
        <v>195</v>
      </c>
      <c r="AE12" s="246" t="s">
        <v>508</v>
      </c>
      <c r="AF12" s="58" t="s">
        <v>78</v>
      </c>
      <c r="AG12" s="1439" t="s">
        <v>353</v>
      </c>
      <c r="AH12" s="1439"/>
      <c r="AI12" s="1439"/>
      <c r="AJ12" s="1395" t="s">
        <v>372</v>
      </c>
      <c r="AK12" s="1395"/>
      <c r="AL12" s="92" t="s">
        <v>365</v>
      </c>
      <c r="AM12" s="92"/>
      <c r="AN12" s="246" t="s">
        <v>273</v>
      </c>
      <c r="AO12" s="37" t="s">
        <v>74</v>
      </c>
      <c r="AP12" s="37"/>
      <c r="AQ12" s="37"/>
      <c r="AR12" s="37"/>
      <c r="AS12" s="37"/>
      <c r="AT12" s="37"/>
      <c r="AU12" s="37"/>
      <c r="AV12" s="37"/>
      <c r="AW12" s="37"/>
      <c r="AX12" s="37"/>
      <c r="AY12" s="37"/>
      <c r="AZ12" s="37"/>
      <c r="BA12" s="37"/>
      <c r="BB12" s="37"/>
      <c r="BC12" s="37"/>
      <c r="BD12" s="37"/>
      <c r="BE12" s="58"/>
      <c r="BF12" s="272"/>
      <c r="BG12" s="58"/>
      <c r="BH12" s="37"/>
      <c r="BI12" s="37"/>
      <c r="BJ12" s="37"/>
      <c r="BK12" s="58"/>
      <c r="BL12" s="390"/>
      <c r="BM12" s="37"/>
      <c r="BN12" s="37"/>
      <c r="BO12" s="37"/>
      <c r="BP12" s="37"/>
      <c r="BQ12" s="248"/>
      <c r="BR12" s="248"/>
      <c r="BS12" s="248"/>
      <c r="BT12" s="419"/>
      <c r="BU12" s="58"/>
      <c r="BV12" s="290"/>
      <c r="BW12" s="334"/>
      <c r="BX12" s="248"/>
      <c r="BY12" s="248"/>
      <c r="BZ12" s="58"/>
      <c r="CA12" s="58"/>
      <c r="CB12" s="58"/>
      <c r="CC12" s="58"/>
      <c r="CD12" s="37"/>
      <c r="CG12" s="58"/>
      <c r="CH12" s="58"/>
      <c r="CI12" s="58"/>
      <c r="CJ12" s="37"/>
      <c r="CM12" s="58"/>
      <c r="CN12" s="58"/>
      <c r="CO12" s="58"/>
      <c r="CP12" s="37"/>
      <c r="CS12" s="58"/>
      <c r="CT12" s="58"/>
      <c r="CU12" s="58"/>
      <c r="CV12" s="37"/>
      <c r="CY12" s="58"/>
      <c r="CZ12" s="58"/>
      <c r="DA12" s="58"/>
      <c r="DB12" s="37"/>
      <c r="DE12" s="58"/>
      <c r="DF12" s="58"/>
      <c r="DG12" s="58"/>
      <c r="DH12" s="37"/>
      <c r="DK12" s="58"/>
      <c r="DL12" s="58"/>
      <c r="DM12" s="58"/>
      <c r="DN12" s="37"/>
      <c r="DQ12" s="58"/>
      <c r="DR12" s="58"/>
      <c r="DS12" s="58"/>
      <c r="DT12" s="37"/>
      <c r="DW12" s="58"/>
      <c r="DX12" s="58"/>
      <c r="DY12" s="58"/>
      <c r="DZ12" s="37"/>
      <c r="EC12" s="58"/>
      <c r="ED12" s="58"/>
      <c r="EE12" s="58"/>
      <c r="EF12" s="37"/>
      <c r="EI12" s="58"/>
      <c r="EJ12" s="58"/>
      <c r="EK12" s="58"/>
      <c r="EL12" s="37"/>
      <c r="EO12" s="58"/>
      <c r="EP12" s="58"/>
      <c r="EQ12" s="58"/>
      <c r="ER12" s="37"/>
      <c r="ES12" s="394"/>
      <c r="EZ12" s="46"/>
      <c r="FA12" s="33"/>
      <c r="FD12" s="56"/>
      <c r="FE12" s="56"/>
      <c r="FF12" s="56"/>
      <c r="FG12" s="56"/>
      <c r="FH12" s="56"/>
      <c r="FI12" s="57"/>
      <c r="FL12" s="92"/>
      <c r="FM12" s="430"/>
      <c r="FN12" s="430"/>
      <c r="FO12" s="430"/>
      <c r="FP12" s="430"/>
      <c r="FQ12" s="430"/>
      <c r="FR12" s="430"/>
      <c r="FS12" s="307"/>
      <c r="FT12" s="430"/>
      <c r="FU12" s="430"/>
      <c r="FV12" s="279"/>
      <c r="FW12" s="58"/>
      <c r="FX12" s="58"/>
      <c r="FY12" s="430"/>
      <c r="FZ12" s="430"/>
      <c r="GA12" s="430"/>
    </row>
    <row r="13" spans="1:183" s="33" customFormat="1" ht="12.75">
      <c r="A13" s="307"/>
      <c r="B13" s="307"/>
      <c r="C13" s="597" t="str">
        <f>IF(AND(R87="F",OR(COUNTA(Zulassung!D24:D27)&gt;2,AND(COUNTA(Zulassung!D24:D27)=2,COUNTA(Zulassung!D10:D12)&gt;=2))),"F","W")</f>
        <v>W</v>
      </c>
      <c r="D13" s="621" t="str">
        <f>IF(OR(COUNTIF(Zulassung!$E$9:$E$30,1)&lt;&gt;1,COUNTIF(Zulassung!$E$9:$E$30,2)&lt;&gt;1),"F","W")</f>
        <v>F</v>
      </c>
      <c r="E13" s="621" t="str">
        <f>IF(OR(COUNTIF(Zulassung!$E$9:$E$30,3)&lt;&gt;1,COUNTIF(Zulassung!$E$9:$E$30,4)&lt;&gt;1),"F","W")</f>
        <v>F</v>
      </c>
      <c r="F13" s="621" t="str">
        <f>IF(AND(COUNT(Zulassung!$E$9:$E$12)&gt;=1,COUNTA(F2:F7)&gt;=1,COUNT(Zulassung!$E$23:$E$27)&gt;=1),"W","F")</f>
        <v>F</v>
      </c>
      <c r="G13" s="622" t="str">
        <f>IF(AND(COUNT(Zulassung!E10:E12)=2,Zulassung!E23=""),"F",IF(COUNT(Zulassung!E9)+COUNT(Zulassung!E23)+COUNT(Zulassung!E10:E12)&gt;1,"W","F"))</f>
        <v>F</v>
      </c>
      <c r="H13" s="597" t="str">
        <f>IF(Zulassung!L31="","W",IF(AND(Zulassung!H31&lt;&gt;"",Zulassung!H31=Zulassung!I31),"W",IF(AND(Zulassung!I31&lt;&gt;"",Zulassung!I31=Zulassung!J31),"W",IF(AND(Zulassung!J31&lt;&gt;"",Zulassung!J31=Zulassung!K31),"W","F"))))</f>
        <v>W</v>
      </c>
      <c r="I13" s="597" t="e">
        <f>IF(VLOOKUP(1,Zulassung!$E$9:$L$30,8,FALSE)+VLOOKUP(2,Zulassung!$E$9:$L$30,8,FALSE)=8,"W","F")</f>
        <v>#N/A</v>
      </c>
      <c r="J13" s="597" t="e">
        <f>IF(VLOOKUP(3,Zulassung!$E$9:$L$30,8,FALSE)+VLOOKUP(4,Zulassung!$E$9:$L$30,8,FALSE)=8,"W","F")</f>
        <v>#N/A</v>
      </c>
      <c r="K13" s="628" t="str">
        <f>IF(OR(K9="F",K10="F"),"F","W")</f>
        <v>W</v>
      </c>
      <c r="L13" s="628" t="str">
        <f>IF(OR(L9="F",L10="F"),"F","W")</f>
        <v>W</v>
      </c>
      <c r="M13" s="597" t="e">
        <f>IF(Zulassung!L39-VLOOKUP(1,Zulassung!$E$9:$L$30,8,FALSE)-VLOOKUP(2,Zulassung!$E$9:$L$30,8,FALSE)&gt;29,"W","F")</f>
        <v>#N/A</v>
      </c>
      <c r="N13" s="625" t="str">
        <f>IF(Zulassung!$L$39&gt;37,"W","F")</f>
        <v>F</v>
      </c>
      <c r="O13" s="625" t="str">
        <f>IF(Zulassung!$M$38&gt;=100,"W","F")</f>
        <v>F</v>
      </c>
      <c r="P13" s="597" t="str">
        <f>IF(OR(AND(Zulassung!F10=3,Zulassung!G10=4),AND(Zulassung!F11=3,Zulassung!G11=4),AND(Zulassung!F12=3,Zulassung!G12=4)),"F","W")</f>
        <v>W</v>
      </c>
      <c r="Q13" s="597" t="e">
        <f>IF(OR(R7="F",R8="F"),"F","W")</f>
        <v>#N/A</v>
      </c>
      <c r="R13" s="597" t="str">
        <f>IF(ISNA(MATCH(4,Zulassung!F10:F12,0))=TRUE,"W",IF(OR(VLOOKUP(4,Zulassung!F10:G12,2,FALSE)=4,VLOOKUP(4,Zulassung!F10:G12,2,FALSE)=""),"W","F"))</f>
        <v>W</v>
      </c>
      <c r="S13" s="632" t="str">
        <f>IF(OR(AND(OR(Zulassung!D14="IV",Zulassung!D14="LI"),COUNT(Zulassung!F14:G14)&gt;0),AND(OR(Zulassung!D15="IV",Zulassung!D15="LI"),COUNT(Zulassung!F15:G15)&gt;0),AND(OR(Zulassung!D16="IV",Zulassung!D16="LI"),COUNT(Zulassung!F16:G16)&gt;0)),"F","W")</f>
        <v>W</v>
      </c>
      <c r="T13" s="634" t="str">
        <f>IF(OR(SUM(Zulassung!AJ9:AK31)&lt;8,AND(SUM(Zulassung!AJ9:AK31)&lt;9,Zulassung!AA37&gt;37)),"W","F")</f>
        <v>W</v>
      </c>
      <c r="U13" s="634" t="str">
        <f>IF(OR(U16&lt;4,U16=""),"W","F")</f>
        <v>W</v>
      </c>
      <c r="V13" s="634" t="str">
        <f>Zulassung!BR35</f>
        <v>W</v>
      </c>
      <c r="W13" s="634" t="str">
        <f>IF(COUNTIF(Zulassung!$E$17:$E$19,1)+COUNTIF(Zulassung!$E$17:$E$19,2)&gt;1,"F","W")</f>
        <v>W</v>
      </c>
      <c r="X13" s="631" t="str">
        <f>IF(ISNA(MATCH("F",X15:X17,0))=TRUE,"W","F")</f>
        <v>W</v>
      </c>
      <c r="Y13" s="635" t="str">
        <f>IF(ISNA(MATCH("PL",Zulassung!D17:D19,0))=TRUE,"W",IF(OR(AND(Zulassung!D28="PL",Zulassung!X69&lt;2),AND(Zulassung!D29="PL",Zulassung!X68&lt;2)),"F","W"))</f>
        <v>W</v>
      </c>
      <c r="Z13" s="597" t="str">
        <f>IF(OR('Punkte-Berechnung'!Y29="F",'Punkte-Berechnung'!Y30="F"),"F","W")</f>
        <v>W</v>
      </c>
      <c r="AA13" s="597" t="str">
        <f>IF(SUM('Punkte-Berechnung'!AA10:AA35)&gt;0,"F","W")</f>
        <v>W</v>
      </c>
      <c r="AB13" s="597" t="str">
        <f ca="1">IF(AND(COUNT(Zulassung!F28:F29,INDIRECT(AB7))&gt;0,COUNT(Zulassung!G28:G29,INDIRECT(AB8))&gt;0,COUNT(Zulassung!H28:H29,INDIRECT(AB9))&gt;0,COUNT(Zulassung!I28:I29,INDIRECT(AB10))&gt;0),"W","F")</f>
        <v>F</v>
      </c>
      <c r="AC13" s="631" t="str">
        <f>IF(OR(COUNTIF(Zulassung!D10:D12,Zulassung!B250)&gt;1,COUNTIF(Zulassung!D10:D12,Zulassung!B251)&gt;1,COUNTIF(Zulassung!D10:D12,Zulassung!B252)&gt;1,COUNTIF(Zulassung!D10:D12,Zulassung!B253)&gt;1,COUNTIF(Zulassung!D14:D16,Zulassung!I250)&gt;1,COUNTIF(Zulassung!D14:D16,Zulassung!K251)&gt;1,COUNTIF(Zulassung!D14:D16,Zulassung!K252)&gt;1,COUNTIF(Zulassung!D14:D16,Zulassung!K253)&gt;1,COUNTIF(Zulassung!D17:D19,Zulassung!K250)&gt;1,COUNTIF(Zulassung!D17:D19,Zulassung!M251)&gt;1,COUNTIF(Zulassung!D17:D19,Zulassung!M252)&gt;1,COUNTIF(Zulassung!D17:D19,Zulassung!M253)&gt;1,COUNTIF(Zulassung!D17:D19,Zulassung!M254)&gt;1,COUNTIF(Zulassung!D17:D19,Zulassung!M255)&gt;1,COUNTIF(Zulassung!D24:D26,Zulassung!M250)&gt;1,COUNTIF(Zulassung!D24:D26,Zulassung!M251)&gt;1,COUNTIF(Zulassung!D24:D26,Zulassung!M252)&gt;1,COUNTIF(Zulassung!D28:D29,"PL")&gt;1,COUNTIF(Zulassung!D28:D29,"ER")&gt;1,COUNTIF(Zulassung!D28:D29,"KR")&gt;1),"F","W")</f>
        <v>W</v>
      </c>
      <c r="AD13" s="631" t="str">
        <f>IF(OR(COUNTIF(Zulassung!D10:D13,"S")+COUNTIF(Zulassung!D10:D13,"S0")&gt;1,COUNTIF(Zulassung!D10:D13,"F")+COUNTIF(Zulassung!D10:D13,"F0")&gt;1),"F","W")</f>
        <v>W</v>
      </c>
      <c r="AE13" s="631" t="str">
        <f>IF(OR(AE17&gt;2,AE18&gt;2,AE19&gt;2,AND(AE18&lt;&gt;0,AE19&lt;&gt;0)),"F","W")</f>
        <v>W</v>
      </c>
      <c r="AF13" s="631" t="e">
        <f ca="1">IF(COUNTIF(INDIRECT(U14),0)=0+COUNTIF(INDIRECT(U15),0),"W","F")</f>
        <v>#REF!</v>
      </c>
      <c r="AG13" s="418" t="str">
        <f>IF(COUNTIF(Zulassung!F28:F29,"")=1,"W",IF(OR(COUNTIF(Zulassung!G28:G29,"")&lt;&gt;2,COUNTIF(Zulassung!H28:H29,"")&lt;&gt;2,COUNTIF(Zulassung!I28:I29,"")&lt;&gt;2,COUNTIF(Zulassung!J28:J29,"")&lt;&gt;2),"W","F"))</f>
        <v>W</v>
      </c>
      <c r="AH13" s="631" t="s">
        <v>531</v>
      </c>
      <c r="AI13" s="631" t="str">
        <f>IF(ISNA(MATCH("F",H27:M27,0))=TRUE,"W","F")</f>
        <v>W</v>
      </c>
      <c r="AJ13" s="631" t="str">
        <f>IF(COUNT(Zulassung!H31:K33)&gt;2,"F","W")</f>
        <v>W</v>
      </c>
      <c r="AL13" s="597" t="str">
        <f>IF(Zulassung!L31="","W",IF(AND(Zulassung!H31&lt;&gt;"",Zulassung!H31=Zulassung!I31),"W",IF(AND(Zulassung!I31&lt;&gt;"",Zulassung!I31=Zulassung!J31),"W",IF(AND(Zulassung!J31&lt;&gt;"",Zulassung!J31=Zulassung!K31),"W","F"))))</f>
        <v>W</v>
      </c>
      <c r="AM13" s="290"/>
      <c r="AN13" s="597" t="str">
        <f>IF(OR('Punkte-Berechnung'!BF36&lt;&gt;"",COUNTIF('Punkte-Berechnung'!AJ11:AJ13,"")=1,COUNT('Punkte-Berechnung'!BM25:BP28)=8),"W","F")</f>
        <v>F</v>
      </c>
      <c r="AO13" s="597" t="str">
        <f>IF(Zulassung!AB39&lt;200,"F","W")</f>
        <v>W</v>
      </c>
      <c r="AP13" s="597"/>
      <c r="AQ13" s="61"/>
      <c r="AR13" s="61"/>
      <c r="AS13" s="61"/>
      <c r="AT13" s="61"/>
      <c r="AU13" s="61"/>
      <c r="AV13" s="61"/>
      <c r="AW13" s="61"/>
      <c r="AX13" s="61"/>
      <c r="AY13" s="61"/>
      <c r="AZ13" s="61"/>
      <c r="BA13" s="61"/>
      <c r="BB13" s="61"/>
      <c r="BC13" s="61"/>
      <c r="BD13" s="61"/>
      <c r="BE13" s="248"/>
      <c r="BF13" s="248"/>
      <c r="BG13" s="248"/>
      <c r="BH13" s="61"/>
      <c r="BI13" s="61"/>
      <c r="BJ13" s="61"/>
      <c r="BK13" s="248"/>
      <c r="BL13" s="255"/>
      <c r="BM13" s="61"/>
      <c r="BN13" s="61"/>
      <c r="BO13" s="61"/>
      <c r="BP13" s="61"/>
      <c r="BQ13" s="61"/>
      <c r="BR13" s="61"/>
      <c r="BS13" s="61"/>
      <c r="BT13" s="61"/>
      <c r="BU13" s="61"/>
      <c r="BV13" s="290"/>
      <c r="BX13" s="61"/>
      <c r="BY13" s="61"/>
      <c r="BZ13" s="61"/>
      <c r="CA13" s="61"/>
      <c r="CB13" s="61"/>
      <c r="CC13" s="61"/>
      <c r="CD13" s="61"/>
      <c r="CG13" s="61"/>
      <c r="CH13" s="61"/>
      <c r="CI13" s="61"/>
      <c r="CJ13" s="61"/>
      <c r="CM13" s="61"/>
      <c r="CN13" s="61"/>
      <c r="CO13" s="61"/>
      <c r="CP13" s="61"/>
      <c r="CS13" s="61"/>
      <c r="CT13" s="61"/>
      <c r="CU13" s="61"/>
      <c r="CV13" s="61"/>
      <c r="CY13" s="61"/>
      <c r="CZ13" s="61"/>
      <c r="DA13" s="61"/>
      <c r="DB13" s="61"/>
      <c r="DE13" s="61"/>
      <c r="DF13" s="61"/>
      <c r="DG13" s="61"/>
      <c r="DH13" s="61"/>
      <c r="DK13" s="61"/>
      <c r="DL13" s="61"/>
      <c r="DM13" s="61"/>
      <c r="DN13" s="61"/>
      <c r="DQ13" s="61"/>
      <c r="DR13" s="61"/>
      <c r="DS13" s="61"/>
      <c r="DT13" s="61"/>
      <c r="DW13" s="61"/>
      <c r="DX13" s="61"/>
      <c r="DY13" s="61"/>
      <c r="DZ13" s="61"/>
      <c r="EC13" s="61"/>
      <c r="ED13" s="61"/>
      <c r="EE13" s="61"/>
      <c r="EF13" s="61"/>
      <c r="EI13" s="61"/>
      <c r="EJ13" s="61"/>
      <c r="EK13" s="61"/>
      <c r="EL13" s="61"/>
      <c r="EO13" s="61"/>
      <c r="EP13" s="61"/>
      <c r="EQ13" s="61"/>
      <c r="ER13" s="61"/>
      <c r="ES13" s="325"/>
      <c r="FB13" s="59"/>
      <c r="FC13" s="59"/>
      <c r="FD13" s="59"/>
      <c r="FE13" s="60"/>
      <c r="FF13" s="60"/>
      <c r="FG13" s="60"/>
      <c r="FH13" s="60"/>
      <c r="FI13" s="57"/>
      <c r="FM13" s="307"/>
      <c r="FN13" s="307"/>
      <c r="FO13" s="290"/>
      <c r="FP13" s="290"/>
      <c r="FQ13" s="290"/>
      <c r="FR13" s="636"/>
      <c r="FS13" s="290"/>
      <c r="FT13" s="290"/>
      <c r="FU13" s="290"/>
      <c r="FV13" s="290"/>
      <c r="FW13" s="637"/>
      <c r="FX13" s="637"/>
      <c r="FY13" s="290"/>
      <c r="FZ13" s="290"/>
      <c r="GA13" s="290"/>
    </row>
    <row r="14" spans="4:183" s="33" customFormat="1" ht="12.75">
      <c r="D14" s="1119"/>
      <c r="E14" s="1119"/>
      <c r="T14" s="34"/>
      <c r="U14" s="34">
        <f>IF(ISNA(MATCH(1,Zulassung!$E$9:$E$30,0))=TRUE,"","Zulassung!H"&amp;MATCH(1,Zulassung!$E$9:$E$30,0)+8&amp;":"&amp;"K"&amp;MATCH(1,Zulassung!$E$9:$E$30,0)+8)</f>
      </c>
      <c r="V14" s="34"/>
      <c r="W14" s="34"/>
      <c r="X14" s="248"/>
      <c r="Y14" s="34"/>
      <c r="AB14" s="597"/>
      <c r="AC14" s="631">
        <f>IF(AD14="","",IF(OR(AD14="FS",AD14="GSW",AD14="NW"),"In einer "&amp;AD14&amp;" müssen 4 Kurse belegt werden!","In "&amp;AD14&amp;" müssen "&amp;AD15&amp;" Kurse belegt werden!"))</f>
      </c>
      <c r="AD14" s="631">
        <f ca="1">IF(AD13="W","",INDIRECT("'Punkte-Berechnung'!Z"&amp;MATCH("F",'Punkte-Berechnung'!AD10:AD35,0)+9))</f>
      </c>
      <c r="AF14" s="248"/>
      <c r="AG14" s="1444" t="s">
        <v>373</v>
      </c>
      <c r="AH14" s="248"/>
      <c r="AI14" s="248"/>
      <c r="AJ14" s="248"/>
      <c r="AO14" s="61"/>
      <c r="AP14" s="61"/>
      <c r="AQ14" s="61"/>
      <c r="AR14" s="61"/>
      <c r="AS14" s="61"/>
      <c r="AT14" s="61"/>
      <c r="AU14" s="61"/>
      <c r="AV14" s="61"/>
      <c r="AW14" s="61"/>
      <c r="AX14" s="61"/>
      <c r="AY14" s="61"/>
      <c r="AZ14" s="61"/>
      <c r="BA14" s="61"/>
      <c r="BB14" s="61"/>
      <c r="BC14" s="61"/>
      <c r="BD14" s="61"/>
      <c r="BE14" s="61"/>
      <c r="BF14" s="61"/>
      <c r="BG14" s="61"/>
      <c r="BH14" s="61"/>
      <c r="BI14" s="61"/>
      <c r="BJ14" s="61"/>
      <c r="BK14" s="248"/>
      <c r="BL14" s="255"/>
      <c r="BM14" s="61"/>
      <c r="BN14" s="61"/>
      <c r="BO14" s="61"/>
      <c r="BP14" s="61"/>
      <c r="BQ14" s="61"/>
      <c r="BR14" s="61"/>
      <c r="BS14" s="61"/>
      <c r="BT14" s="61"/>
      <c r="BU14" s="61"/>
      <c r="BX14" s="61"/>
      <c r="BY14" s="61"/>
      <c r="BZ14" s="61"/>
      <c r="CA14" s="61"/>
      <c r="CB14" s="61"/>
      <c r="CC14" s="61"/>
      <c r="CD14" s="61"/>
      <c r="CG14" s="61"/>
      <c r="CH14" s="61"/>
      <c r="CI14" s="61"/>
      <c r="CJ14" s="61"/>
      <c r="CM14" s="61"/>
      <c r="CN14" s="61"/>
      <c r="CO14" s="61"/>
      <c r="CP14" s="61"/>
      <c r="CS14" s="61"/>
      <c r="CT14" s="61"/>
      <c r="CU14" s="61"/>
      <c r="CV14" s="61"/>
      <c r="CY14" s="61"/>
      <c r="CZ14" s="61"/>
      <c r="DA14" s="61"/>
      <c r="DB14" s="61"/>
      <c r="DE14" s="61"/>
      <c r="DF14" s="61"/>
      <c r="DG14" s="61"/>
      <c r="DH14" s="61"/>
      <c r="DK14" s="61"/>
      <c r="DL14" s="61"/>
      <c r="DM14" s="61"/>
      <c r="DN14" s="61"/>
      <c r="DQ14" s="61"/>
      <c r="DR14" s="61"/>
      <c r="DS14" s="61"/>
      <c r="DT14" s="61"/>
      <c r="DW14" s="61"/>
      <c r="DX14" s="61"/>
      <c r="DY14" s="61"/>
      <c r="DZ14" s="61"/>
      <c r="EC14" s="61"/>
      <c r="ED14" s="61"/>
      <c r="EE14" s="61"/>
      <c r="EF14" s="61"/>
      <c r="EI14" s="61"/>
      <c r="EJ14" s="61"/>
      <c r="EK14" s="61"/>
      <c r="EL14" s="61"/>
      <c r="EO14" s="61"/>
      <c r="EP14" s="61"/>
      <c r="EQ14" s="61"/>
      <c r="ER14" s="61"/>
      <c r="ES14" s="325"/>
      <c r="FM14" s="290"/>
      <c r="FN14" s="290"/>
      <c r="FO14" s="290"/>
      <c r="FP14" s="290"/>
      <c r="FQ14" s="290"/>
      <c r="FR14" s="290"/>
      <c r="FS14" s="290"/>
      <c r="FT14" s="290"/>
      <c r="FU14" s="290"/>
      <c r="FV14" s="290"/>
      <c r="FW14" s="34"/>
      <c r="FX14" s="34"/>
      <c r="FY14" s="290"/>
      <c r="FZ14" s="290"/>
      <c r="GA14" s="290"/>
    </row>
    <row r="15" spans="4:183" s="33" customFormat="1" ht="12.75">
      <c r="D15" s="1119"/>
      <c r="E15" s="1119"/>
      <c r="T15" s="34"/>
      <c r="U15" s="34">
        <f>IF(ISNA(MATCH(2,Zulassung!$E$9:$E$30,0))=TRUE,"","Zulassung!H"&amp;MATCH(2,Zulassung!$E$9:$E$30,0)+8&amp;":"&amp;"K"&amp;MATCH(2,Zulassung!$E$9:$E$30,0)+8)</f>
      </c>
      <c r="V15" s="34"/>
      <c r="W15" s="34"/>
      <c r="X15" s="34" t="str">
        <f>IF(AND(OR(Zulassung!D17="GE",Zulassung!D17="SW"),COUNT(Zulassung!J17:K17)&gt;0,COUNTIF(Zulassung!H17:I17,"")=2),"F","W")</f>
        <v>W</v>
      </c>
      <c r="Y15" s="34"/>
      <c r="AB15" s="597"/>
      <c r="AC15" s="631" t="str">
        <f>IF(OR(COUNTIF(Zulassung!D10:D13,"S")+COUNTIF(Zulassung!D10:D13,"S0")&lt;1,COUNTIF(Zulassung!D10:D13,"F")+COUNTIF(Zulassung!D10:D13,"F0")&lt;1),"F","W")</f>
        <v>F</v>
      </c>
      <c r="AD15" s="631">
        <f ca="1">IF(AD13="W","",INDIRECT("'Punkte-Berechnung'!AC"&amp;MATCH("F",'Punkte-Berechnung'!AD10:AD52,0)+9))</f>
      </c>
      <c r="AF15" s="248"/>
      <c r="AG15" s="1444"/>
      <c r="AH15" s="1444" t="s">
        <v>374</v>
      </c>
      <c r="AI15" s="248"/>
      <c r="AJ15" s="248"/>
      <c r="AO15" s="61"/>
      <c r="AP15" s="61"/>
      <c r="AQ15" s="61"/>
      <c r="AR15" s="61"/>
      <c r="AS15" s="61"/>
      <c r="AT15" s="61"/>
      <c r="AU15" s="61"/>
      <c r="AV15" s="61"/>
      <c r="AW15" s="61"/>
      <c r="AX15" s="61"/>
      <c r="AY15" s="61"/>
      <c r="AZ15" s="61"/>
      <c r="BA15" s="61"/>
      <c r="BB15" s="61"/>
      <c r="BC15" s="61"/>
      <c r="BD15" s="61"/>
      <c r="BE15" s="61"/>
      <c r="BF15" s="61"/>
      <c r="BG15" s="61"/>
      <c r="BH15" s="61"/>
      <c r="BI15" s="61"/>
      <c r="BJ15" s="61"/>
      <c r="BK15" s="248"/>
      <c r="BL15" s="255"/>
      <c r="BM15" s="61"/>
      <c r="BN15" s="61"/>
      <c r="BO15" s="61"/>
      <c r="BP15" s="61"/>
      <c r="BQ15" s="61"/>
      <c r="BR15" s="61"/>
      <c r="BS15" s="61"/>
      <c r="BT15" s="61"/>
      <c r="BU15" s="61"/>
      <c r="BY15" s="61"/>
      <c r="BZ15" s="61"/>
      <c r="CA15" s="61"/>
      <c r="CB15" s="61"/>
      <c r="CC15" s="61"/>
      <c r="CD15" s="61"/>
      <c r="CG15" s="61"/>
      <c r="CH15" s="61"/>
      <c r="CI15" s="61"/>
      <c r="CJ15" s="61"/>
      <c r="CM15" s="61"/>
      <c r="CN15" s="61"/>
      <c r="CO15" s="61"/>
      <c r="CP15" s="61"/>
      <c r="CS15" s="61"/>
      <c r="CT15" s="61"/>
      <c r="CU15" s="61"/>
      <c r="CV15" s="61"/>
      <c r="CY15" s="61"/>
      <c r="CZ15" s="61"/>
      <c r="DA15" s="61"/>
      <c r="DB15" s="61"/>
      <c r="DE15" s="61"/>
      <c r="DF15" s="61"/>
      <c r="DG15" s="61"/>
      <c r="DH15" s="61"/>
      <c r="DK15" s="61"/>
      <c r="DL15" s="61"/>
      <c r="DM15" s="61"/>
      <c r="DN15" s="61"/>
      <c r="DQ15" s="61"/>
      <c r="DR15" s="61"/>
      <c r="DS15" s="61"/>
      <c r="DT15" s="61"/>
      <c r="DW15" s="61"/>
      <c r="DX15" s="61"/>
      <c r="DY15" s="61"/>
      <c r="DZ15" s="61"/>
      <c r="EC15" s="61"/>
      <c r="ED15" s="61"/>
      <c r="EE15" s="61"/>
      <c r="EF15" s="61"/>
      <c r="EI15" s="61"/>
      <c r="EJ15" s="61"/>
      <c r="EK15" s="61"/>
      <c r="EL15" s="61"/>
      <c r="EO15" s="61"/>
      <c r="EP15" s="61"/>
      <c r="EQ15" s="61"/>
      <c r="ER15" s="61"/>
      <c r="ES15" s="325"/>
      <c r="FM15" s="290"/>
      <c r="FN15" s="290"/>
      <c r="FO15" s="290"/>
      <c r="FP15" s="290"/>
      <c r="FQ15" s="290"/>
      <c r="FR15" s="290"/>
      <c r="FS15" s="290"/>
      <c r="FT15" s="290"/>
      <c r="FU15" s="290"/>
      <c r="FV15" s="290"/>
      <c r="FW15" s="34"/>
      <c r="FX15" s="34"/>
      <c r="FY15" s="290"/>
      <c r="FZ15" s="290"/>
      <c r="GA15" s="290"/>
    </row>
    <row r="16" spans="4:183" s="33" customFormat="1" ht="12.75">
      <c r="D16" s="1119"/>
      <c r="E16" s="1119"/>
      <c r="I16" s="597" t="s">
        <v>361</v>
      </c>
      <c r="J16" s="597"/>
      <c r="K16" s="597"/>
      <c r="L16" s="597"/>
      <c r="M16" s="597"/>
      <c r="Q16" s="597" t="s">
        <v>426</v>
      </c>
      <c r="R16" s="597" t="s">
        <v>271</v>
      </c>
      <c r="S16" s="34" t="s">
        <v>427</v>
      </c>
      <c r="T16" s="633">
        <f>IF(U16="","",COUNTIF(Zulassung!H9:K33,"&lt;5")-U16)</f>
      </c>
      <c r="U16" s="34">
        <f ca="1">IF(OR(U14="",U15=""),"",COUNTIF(INDIRECT(U14),"&lt;5")+COUNTIF(INDIRECT(U15),"&lt;5"))</f>
      </c>
      <c r="V16" s="34"/>
      <c r="W16" s="34"/>
      <c r="X16" s="34" t="str">
        <f>IF(AND(OR(Zulassung!D18="GE",Zulassung!D18="SW"),COUNT(Zulassung!J18:K18)&gt;0,COUNTIF(Zulassung!H18:I18,"")=2),"F","W")</f>
        <v>W</v>
      </c>
      <c r="Y16" s="34"/>
      <c r="AC16" s="61"/>
      <c r="AD16" s="61"/>
      <c r="AF16" s="61"/>
      <c r="AG16" s="1444"/>
      <c r="AH16" s="1444"/>
      <c r="AI16" s="61"/>
      <c r="AJ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248"/>
      <c r="BL16" s="255"/>
      <c r="BM16" s="61"/>
      <c r="BN16" s="61"/>
      <c r="BO16" s="61"/>
      <c r="BP16" s="61"/>
      <c r="BQ16" s="61"/>
      <c r="BR16" s="61"/>
      <c r="BS16" s="61"/>
      <c r="BT16" s="61"/>
      <c r="BU16" s="61"/>
      <c r="CD16" s="61"/>
      <c r="CJ16" s="61"/>
      <c r="CP16" s="61"/>
      <c r="CV16" s="61"/>
      <c r="DB16" s="61"/>
      <c r="DH16" s="61"/>
      <c r="DN16" s="61"/>
      <c r="DT16" s="61"/>
      <c r="DZ16" s="61"/>
      <c r="EF16" s="61"/>
      <c r="EL16" s="61"/>
      <c r="ER16" s="61"/>
      <c r="ES16" s="325"/>
      <c r="FM16" s="290"/>
      <c r="FN16" s="290"/>
      <c r="FO16" s="290"/>
      <c r="FP16" s="290"/>
      <c r="FQ16" s="290"/>
      <c r="FR16" s="290"/>
      <c r="FS16" s="290"/>
      <c r="FT16" s="290"/>
      <c r="FU16" s="290"/>
      <c r="FV16" s="290"/>
      <c r="FW16" s="34"/>
      <c r="FX16" s="34"/>
      <c r="FY16" s="290"/>
      <c r="FZ16" s="290"/>
      <c r="GA16" s="290"/>
    </row>
    <row r="17" spans="9:183" s="33" customFormat="1" ht="12.75" customHeight="1">
      <c r="I17" s="623" t="s">
        <v>266</v>
      </c>
      <c r="J17" s="630">
        <f>IF(ISNA(VLOOKUP("S0",Zulassung!$D$10:$K$12,5,FALSE))=TRUE,0,IF(OR(VLOOKUP("S0",Zulassung!$D$10:$K$12,5,FALSE)=0,VLOOKUP("S0",Zulassung!$D$10:$K$12,5,FALSE)=""),0,1))</f>
        <v>0</v>
      </c>
      <c r="K17" s="630">
        <f>IF(ISNA(VLOOKUP("S0",Zulassung!$D$10:$K$12,6,FALSE))=TRUE,0,IF(OR(VLOOKUP("S0",Zulassung!$D$10:$K$12,6,FALSE)=0,VLOOKUP("S0",Zulassung!$D$10:$K$12,6,FALSE)=""),0,1))</f>
        <v>0</v>
      </c>
      <c r="L17" s="630">
        <f>IF(ISNA(VLOOKUP("S0",Zulassung!$D$10:$K$12,7,FALSE))=TRUE,0,IF(OR(VLOOKUP("S0",Zulassung!$D$10:$K$12,7,FALSE)=0,VLOOKUP("S0",Zulassung!$D$10:$K$12,7,FALSE)=""),0,1))</f>
        <v>0</v>
      </c>
      <c r="M17" s="630">
        <f>IF(ISNA(VLOOKUP("S0",Zulassung!$D$10:$K$12,8,FALSE))=TRUE,0,IF(OR(VLOOKUP("S0",Zulassung!$D$10:$K$12,8,FALSE)=0,VLOOKUP("S0",Zulassung!$D$10:$K$12,8,FALSE)=""),0,1))</f>
        <v>0</v>
      </c>
      <c r="Q17" s="635"/>
      <c r="R17" s="597"/>
      <c r="T17" s="34"/>
      <c r="V17" s="34"/>
      <c r="W17" s="34"/>
      <c r="X17" s="34" t="str">
        <f>IF(AND(OR(Zulassung!D19="GE",Zulassung!D19="SW"),COUNT(Zulassung!J19:K19)&gt;0,COUNTIF(Zulassung!H19:I19,"")=2),"F","W")</f>
        <v>W</v>
      </c>
      <c r="Y17" s="34"/>
      <c r="AC17" s="61"/>
      <c r="AD17" s="1120" t="s">
        <v>204</v>
      </c>
      <c r="AE17" s="1120">
        <f ca="1">COUNT(INDIRECT("'Zulassung'!H"&amp;MATCH(AD17,Zulassung!D14:D16,0)+13&amp;":K"&amp;MATCH(AD17,Zulassung!D14:D16,0)+13))</f>
        <v>0</v>
      </c>
      <c r="AF17" s="61"/>
      <c r="AG17" s="1444"/>
      <c r="AH17" s="1444"/>
      <c r="AI17" s="61"/>
      <c r="AJ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255"/>
      <c r="BL17" s="255"/>
      <c r="BM17" s="255"/>
      <c r="BN17" s="255"/>
      <c r="BO17" s="255"/>
      <c r="BP17" s="255"/>
      <c r="BQ17" s="255"/>
      <c r="BR17" s="255"/>
      <c r="BS17" s="255"/>
      <c r="BT17" s="255"/>
      <c r="BU17" s="255"/>
      <c r="BV17" s="324"/>
      <c r="BW17" s="324"/>
      <c r="BX17" s="324"/>
      <c r="BY17" s="324"/>
      <c r="CD17" s="61"/>
      <c r="CJ17" s="61"/>
      <c r="CP17" s="61"/>
      <c r="CV17" s="61"/>
      <c r="DB17" s="61"/>
      <c r="DH17" s="61"/>
      <c r="DN17" s="61"/>
      <c r="DT17" s="61"/>
      <c r="DZ17" s="61"/>
      <c r="EF17" s="61"/>
      <c r="EL17" s="61"/>
      <c r="ER17" s="61"/>
      <c r="ES17" s="325"/>
      <c r="EY17"/>
      <c r="FA17"/>
      <c r="FB17"/>
      <c r="FC17"/>
      <c r="FD17"/>
      <c r="FM17" s="290"/>
      <c r="FN17" s="290"/>
      <c r="FO17" s="290"/>
      <c r="FP17" s="290"/>
      <c r="FQ17" s="290"/>
      <c r="FR17" s="290"/>
      <c r="FS17" s="290"/>
      <c r="FT17" s="290"/>
      <c r="FU17" s="290"/>
      <c r="FV17" s="290"/>
      <c r="FW17" s="34"/>
      <c r="FX17" s="34"/>
      <c r="FY17" s="290"/>
      <c r="FZ17" s="290"/>
      <c r="GA17" s="290"/>
    </row>
    <row r="18" spans="9:183" s="33" customFormat="1" ht="12.75">
      <c r="I18" s="597" t="s">
        <v>267</v>
      </c>
      <c r="J18" s="630">
        <f>IF(ISNA(VLOOKUP(1,Zulassung!$E$9:$K$30,4,FALSE))=TRUE,0,IF(VLOOKUP(1,Zulassung!$E$9:$K$30,4,FALSE)=0,0,2))</f>
        <v>0</v>
      </c>
      <c r="K18" s="630">
        <f>IF(ISNA(VLOOKUP(1,Zulassung!$E$9:$K$30,5,FALSE))=TRUE,0,IF(VLOOKUP(1,Zulassung!$E$9:$K$30,5,FALSE)=0,0,2))</f>
        <v>0</v>
      </c>
      <c r="L18" s="630">
        <f>IF(ISNA(VLOOKUP(1,Zulassung!$E$9:$K$30,6,FALSE))=TRUE,0,IF(VLOOKUP(1,Zulassung!$E$9:$K$30,6,FALSE)=0,0,2))</f>
        <v>0</v>
      </c>
      <c r="M18" s="630">
        <f>IF(ISNA(VLOOKUP(1,Zulassung!$E$9:$K$30,7,FALSE))=TRUE,0,IF(VLOOKUP(1,Zulassung!$E$9:$K$30,7,FALSE)=0,0,2))</f>
        <v>0</v>
      </c>
      <c r="Q18" s="635">
        <v>0</v>
      </c>
      <c r="R18" s="597" t="s">
        <v>338</v>
      </c>
      <c r="T18" s="34"/>
      <c r="U18" s="34"/>
      <c r="V18" s="34"/>
      <c r="W18" s="34"/>
      <c r="X18" s="248"/>
      <c r="Y18" s="34"/>
      <c r="AC18" s="61"/>
      <c r="AD18" s="1120" t="s">
        <v>43</v>
      </c>
      <c r="AE18" s="1120">
        <f ca="1">COUNT(INDIRECT("'Zulassung'!H"&amp;MATCH(AD18,Zulassung!D14:D16,0)+13&amp;":K"&amp;MATCH(AD18,Zulassung!D14:D16,0)+13))</f>
        <v>0</v>
      </c>
      <c r="AF18" s="61"/>
      <c r="AG18" s="1444"/>
      <c r="AH18" s="1444"/>
      <c r="AI18" s="61"/>
      <c r="AJ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255"/>
      <c r="BL18" s="255"/>
      <c r="BM18" s="255"/>
      <c r="BN18" s="255"/>
      <c r="BO18" s="255"/>
      <c r="BP18" s="255"/>
      <c r="BQ18" s="255"/>
      <c r="BR18" s="255"/>
      <c r="BS18" s="255"/>
      <c r="BT18" s="255"/>
      <c r="BU18" s="255"/>
      <c r="BV18" s="324"/>
      <c r="BW18" s="324"/>
      <c r="BX18" s="324"/>
      <c r="BY18" s="324"/>
      <c r="CD18" s="61"/>
      <c r="CJ18" s="61"/>
      <c r="CP18" s="61"/>
      <c r="CV18" s="61"/>
      <c r="DB18" s="61"/>
      <c r="DH18" s="61"/>
      <c r="DN18" s="61"/>
      <c r="DT18" s="61"/>
      <c r="DZ18" s="61"/>
      <c r="EF18" s="61"/>
      <c r="EL18" s="61"/>
      <c r="ER18" s="61"/>
      <c r="ES18" s="325"/>
      <c r="EY18"/>
      <c r="FA18"/>
      <c r="FB18"/>
      <c r="FC18"/>
      <c r="FD18"/>
      <c r="FM18" s="290"/>
      <c r="FN18" s="290"/>
      <c r="FO18" s="290"/>
      <c r="FP18" s="290"/>
      <c r="FQ18" s="290"/>
      <c r="FR18" s="290"/>
      <c r="FS18" s="290"/>
      <c r="FT18" s="290"/>
      <c r="FU18" s="290"/>
      <c r="FV18" s="290"/>
      <c r="FW18" s="34"/>
      <c r="FX18" s="34"/>
      <c r="FY18" s="290"/>
      <c r="FZ18" s="290"/>
      <c r="GA18" s="290"/>
    </row>
    <row r="19" spans="9:31" ht="12.75">
      <c r="I19" s="597" t="s">
        <v>268</v>
      </c>
      <c r="J19" s="630">
        <f>IF(ISNA(VLOOKUP(2,Zulassung!$E$9:$K$30,4,FALSE))=TRUE,0,IF(VLOOKUP(2,Zulassung!$E$9:$K$30,4,FALSE)=0,0,2))</f>
        <v>0</v>
      </c>
      <c r="K19" s="630">
        <f>IF(ISNA(VLOOKUP(2,Zulassung!$E$9:$K$30,5,FALSE))=TRUE,0,IF(VLOOKUP(2,Zulassung!$E$9:$K$30,5,FALSE)=0,0,2))</f>
        <v>0</v>
      </c>
      <c r="L19" s="630">
        <f>IF(ISNA(VLOOKUP(2,Zulassung!$E$9:$K$30,6,FALSE))=TRUE,0,IF(VLOOKUP(2,Zulassung!$E$9:$K$30,6,FALSE)=0,0,2))</f>
        <v>0</v>
      </c>
      <c r="M19" s="630">
        <f>IF(ISNA(VLOOKUP(2,Zulassung!$E$9:$K$30,7,FALSE))=TRUE,0,IF(VLOOKUP(2,Zulassung!$E$9:$K$30,7,FALSE)=0,0,2))</f>
        <v>0</v>
      </c>
      <c r="Q19" s="635">
        <v>1</v>
      </c>
      <c r="R19" s="596" t="s">
        <v>339</v>
      </c>
      <c r="AD19" s="1121" t="s">
        <v>507</v>
      </c>
      <c r="AE19" s="1120">
        <f ca="1">COUNT(INDIRECT("'Zulassung'!H"&amp;MATCH(AD19,Zulassung!D14:D16,0)+13&amp;":K"&amp;MATCH(AD19,Zulassung!D14:D16,0)+13))</f>
        <v>0</v>
      </c>
    </row>
    <row r="20" spans="5:17" ht="12.75">
      <c r="E20" s="33"/>
      <c r="F20" s="33"/>
      <c r="G20" s="33"/>
      <c r="H20" s="33"/>
      <c r="I20" s="597" t="s">
        <v>343</v>
      </c>
      <c r="J20" s="597">
        <f>COUNT(Zulassung!H31)*2</f>
        <v>0</v>
      </c>
      <c r="K20" s="597">
        <f>COUNT(Zulassung!I31)*2</f>
        <v>0</v>
      </c>
      <c r="L20" s="597">
        <f>COUNT(Zulassung!J31)*2</f>
        <v>0</v>
      </c>
      <c r="M20" s="597">
        <f>COUNT(Zulassung!K31)*2</f>
        <v>0</v>
      </c>
      <c r="Q20" s="635">
        <v>2</v>
      </c>
    </row>
    <row r="21" spans="5:17" ht="12.75">
      <c r="E21" s="33"/>
      <c r="F21" s="33"/>
      <c r="G21" s="33"/>
      <c r="H21" s="33"/>
      <c r="I21" s="597" t="s">
        <v>207</v>
      </c>
      <c r="J21" s="597">
        <f>COUNT(Zulassung!H34:H36)*2</f>
        <v>0</v>
      </c>
      <c r="K21" s="597">
        <f>COUNT(Zulassung!I34:I36)*2</f>
        <v>0</v>
      </c>
      <c r="L21" s="597">
        <f>COUNT(Zulassung!J34:J36)*2</f>
        <v>0</v>
      </c>
      <c r="M21" s="597">
        <f>COUNT(Zulassung!K34:K36)*2</f>
        <v>0</v>
      </c>
      <c r="Q21" s="635">
        <v>3</v>
      </c>
    </row>
    <row r="22" spans="5:17" ht="12.75">
      <c r="E22" s="33"/>
      <c r="F22" s="33"/>
      <c r="G22" s="33"/>
      <c r="H22" s="33"/>
      <c r="I22" s="33"/>
      <c r="J22" s="33"/>
      <c r="K22" s="33"/>
      <c r="L22" s="33"/>
      <c r="M22" s="33"/>
      <c r="Q22" s="635">
        <v>4</v>
      </c>
    </row>
    <row r="23" spans="5:17" ht="12.75">
      <c r="E23" s="597"/>
      <c r="F23" s="623" t="s">
        <v>375</v>
      </c>
      <c r="G23" s="597"/>
      <c r="H23" s="631" t="s">
        <v>376</v>
      </c>
      <c r="I23" s="631" t="s">
        <v>377</v>
      </c>
      <c r="J23" s="631" t="s">
        <v>170</v>
      </c>
      <c r="K23" s="631" t="s">
        <v>171</v>
      </c>
      <c r="L23" s="631" t="s">
        <v>172</v>
      </c>
      <c r="M23" s="631" t="s">
        <v>173</v>
      </c>
      <c r="Q23" s="635">
        <v>5</v>
      </c>
    </row>
    <row r="24" spans="5:17" ht="12.75">
      <c r="E24" s="597"/>
      <c r="F24" s="597" t="s">
        <v>378</v>
      </c>
      <c r="G24" s="597" t="str">
        <f>Zulassung!D28</f>
        <v>KR</v>
      </c>
      <c r="H24" s="631">
        <f>COUNT(Zulassung!F28)</f>
        <v>1</v>
      </c>
      <c r="I24" s="631">
        <f>COUNT(Zulassung!G28)</f>
        <v>1</v>
      </c>
      <c r="J24" s="631">
        <f>COUNT(Zulassung!H28)</f>
        <v>0</v>
      </c>
      <c r="K24" s="631">
        <f>COUNT(Zulassung!I28)</f>
        <v>0</v>
      </c>
      <c r="L24" s="631">
        <f>COUNT(Zulassung!J28)</f>
        <v>0</v>
      </c>
      <c r="M24" s="631">
        <f>COUNT(Zulassung!K28)</f>
        <v>0</v>
      </c>
      <c r="Q24" s="635">
        <v>6</v>
      </c>
    </row>
    <row r="25" spans="5:17" ht="12.75">
      <c r="E25" s="597"/>
      <c r="F25" s="597" t="s">
        <v>379</v>
      </c>
      <c r="G25" s="597" t="str">
        <f>Zulassung!D29</f>
        <v>PL</v>
      </c>
      <c r="H25" s="631">
        <f>COUNT(Zulassung!F29)</f>
        <v>1</v>
      </c>
      <c r="I25" s="631">
        <f>COUNT(Zulassung!G29)</f>
        <v>1</v>
      </c>
      <c r="J25" s="631">
        <f>COUNT(Zulassung!H29)</f>
        <v>0</v>
      </c>
      <c r="K25" s="631">
        <f>COUNT(Zulassung!I29)</f>
        <v>0</v>
      </c>
      <c r="L25" s="631">
        <f>COUNT(Zulassung!J29)</f>
        <v>0</v>
      </c>
      <c r="M25" s="631">
        <f>COUNT(Zulassung!K29)</f>
        <v>0</v>
      </c>
      <c r="Q25" s="635">
        <v>7</v>
      </c>
    </row>
    <row r="26" spans="5:17" ht="12.75">
      <c r="E26" s="597"/>
      <c r="F26" s="597" t="s">
        <v>380</v>
      </c>
      <c r="G26" s="597"/>
      <c r="H26" s="631">
        <f aca="true" t="shared" si="0" ref="H26:M26">SUM(H24:H25)</f>
        <v>2</v>
      </c>
      <c r="I26" s="631">
        <f t="shared" si="0"/>
        <v>2</v>
      </c>
      <c r="J26" s="631">
        <f t="shared" si="0"/>
        <v>0</v>
      </c>
      <c r="K26" s="631">
        <f t="shared" si="0"/>
        <v>0</v>
      </c>
      <c r="L26" s="631">
        <f t="shared" si="0"/>
        <v>0</v>
      </c>
      <c r="M26" s="631">
        <f t="shared" si="0"/>
        <v>0</v>
      </c>
      <c r="Q26" s="635">
        <v>8</v>
      </c>
    </row>
    <row r="27" spans="5:17" ht="12.75">
      <c r="E27" s="597"/>
      <c r="F27" s="597"/>
      <c r="G27" s="597"/>
      <c r="H27" s="631"/>
      <c r="I27" s="631" t="str">
        <f>IF(AND(I26&gt;H26,VLOOKUP("PL",$G$24:$M$25,2,FALSE)&lt;&gt;1),"F","W")</f>
        <v>W</v>
      </c>
      <c r="J27" s="631" t="str">
        <f>IF(AND(J26&gt;I26,VLOOKUP("PL",$G$24:$M$25,3,FALSE)&lt;&gt;1),"F","W")</f>
        <v>W</v>
      </c>
      <c r="K27" s="631" t="str">
        <f>IF(AND(K26&gt;J26,VLOOKUP("PL",$G$24:$M$25,4,FALSE)&lt;&gt;1),"F","W")</f>
        <v>W</v>
      </c>
      <c r="L27" s="631" t="str">
        <f>IF(AND(L26&gt;K26,VLOOKUP("PL",$G$24:$M$25,5,FALSE)&lt;&gt;1),"F","W")</f>
        <v>W</v>
      </c>
      <c r="M27" s="631" t="str">
        <f>IF(AND(M26&gt;L26,VLOOKUP("PL",$G$24:$M$25,6,FALSE)&lt;&gt;1),"F","W")</f>
        <v>W</v>
      </c>
      <c r="Q27" s="635">
        <v>9</v>
      </c>
    </row>
    <row r="28" ht="12.75">
      <c r="Q28" s="635">
        <v>10</v>
      </c>
    </row>
    <row r="29" ht="12.75">
      <c r="Q29" s="635">
        <v>11</v>
      </c>
    </row>
    <row r="30" ht="12.75">
      <c r="Q30" s="635">
        <v>12</v>
      </c>
    </row>
    <row r="31" ht="12.75">
      <c r="Q31" s="635">
        <v>13</v>
      </c>
    </row>
    <row r="32" ht="12.75">
      <c r="Q32" s="635">
        <v>14</v>
      </c>
    </row>
    <row r="33" ht="12.75">
      <c r="Q33" s="635">
        <v>15</v>
      </c>
    </row>
    <row r="34" ht="12.75">
      <c r="Q34" s="635" t="s">
        <v>70</v>
      </c>
    </row>
  </sheetData>
  <sheetProtection/>
  <mergeCells count="10">
    <mergeCell ref="AG14:AG18"/>
    <mergeCell ref="AH15:AH18"/>
    <mergeCell ref="AG12:AI12"/>
    <mergeCell ref="AJ12:AK12"/>
    <mergeCell ref="FW11:FX11"/>
    <mergeCell ref="FY11:FZ11"/>
    <mergeCell ref="D11:G11"/>
    <mergeCell ref="Z11:Z12"/>
    <mergeCell ref="FM6:FN6"/>
    <mergeCell ref="N7:N9"/>
  </mergeCells>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HR233"/>
  <sheetViews>
    <sheetView zoomScale="75" zoomScaleNormal="75" zoomScalePageLayoutView="0" workbookViewId="0" topLeftCell="J1">
      <selection activeCell="BK34" sqref="BK34"/>
    </sheetView>
  </sheetViews>
  <sheetFormatPr defaultColWidth="11.421875" defaultRowHeight="12.75"/>
  <cols>
    <col min="1" max="1" width="4.8515625" style="33" customWidth="1"/>
    <col min="2" max="2" width="4.7109375" style="33" customWidth="1"/>
    <col min="3" max="3" width="9.140625" style="33" customWidth="1"/>
    <col min="4" max="4" width="7.140625" style="33" customWidth="1"/>
    <col min="5" max="5" width="6.28125" style="33" customWidth="1"/>
    <col min="6" max="9" width="5.7109375" style="33" customWidth="1"/>
    <col min="10" max="10" width="6.57421875" style="33" customWidth="1"/>
    <col min="11" max="11" width="5.7109375" style="33" customWidth="1"/>
    <col min="12" max="12" width="7.8515625" style="33" customWidth="1"/>
    <col min="13" max="13" width="5.7109375" style="33" customWidth="1"/>
    <col min="14" max="14" width="5.00390625" style="33" customWidth="1"/>
    <col min="15" max="15" width="10.57421875" style="33" customWidth="1"/>
    <col min="16" max="16" width="4.28125" style="33" customWidth="1"/>
    <col min="17" max="17" width="3.140625" style="33" customWidth="1"/>
    <col min="18" max="18" width="8.140625" style="33" customWidth="1"/>
    <col min="19" max="19" width="1.8515625" style="33" customWidth="1"/>
    <col min="20" max="20" width="6.8515625" style="34" customWidth="1"/>
    <col min="21" max="22" width="4.421875" style="34" customWidth="1"/>
    <col min="23" max="23" width="7.28125" style="34" customWidth="1"/>
    <col min="24" max="24" width="2.8515625" style="34" customWidth="1"/>
    <col min="25" max="25" width="5.28125" style="34" customWidth="1"/>
    <col min="26" max="26" width="5.140625" style="0" customWidth="1"/>
    <col min="27" max="28" width="5.7109375" style="0" customWidth="1"/>
    <col min="29" max="30" width="5.7109375" style="61" customWidth="1"/>
    <col min="31" max="32" width="6.00390625" style="61" customWidth="1"/>
    <col min="33" max="33" width="7.8515625" style="61" customWidth="1"/>
    <col min="34" max="34" width="5.7109375" style="61" customWidth="1"/>
    <col min="35" max="35" width="11.00390625" style="61" customWidth="1"/>
    <col min="36" max="36" width="11.57421875" style="61" customWidth="1"/>
    <col min="37" max="37" width="8.140625" style="0" customWidth="1"/>
    <col min="38" max="38" width="3.140625" style="0" customWidth="1"/>
    <col min="39" max="39" width="9.28125" style="0" customWidth="1"/>
    <col min="40" max="40" width="6.00390625" style="0" customWidth="1"/>
    <col min="41" max="42" width="8.57421875" style="44" customWidth="1"/>
    <col min="43" max="43" width="5.57421875" style="44" customWidth="1"/>
    <col min="44" max="44" width="10.7109375" style="44" customWidth="1"/>
    <col min="45" max="45" width="5.28125" style="44" customWidth="1"/>
    <col min="46" max="55" width="5.57421875" style="44" customWidth="1"/>
    <col min="56" max="56" width="11.8515625" style="44" customWidth="1"/>
    <col min="57" max="57" width="8.8515625" style="44" customWidth="1"/>
    <col min="58" max="59" width="8.421875" style="44" customWidth="1"/>
    <col min="60" max="60" width="4.421875" style="44" customWidth="1"/>
    <col min="61" max="61" width="11.8515625" style="44" customWidth="1"/>
    <col min="62" max="62" width="8.00390625" style="44" customWidth="1"/>
    <col min="63" max="63" width="9.7109375" style="288" customWidth="1"/>
    <col min="64" max="64" width="9.57421875" style="391" customWidth="1"/>
    <col min="65" max="66" width="9.57421875" style="44" customWidth="1"/>
    <col min="67" max="67" width="9.28125" style="44" customWidth="1"/>
    <col min="68" max="68" width="9.140625" style="44" customWidth="1"/>
    <col min="69" max="71" width="4.421875" style="44" customWidth="1"/>
    <col min="72" max="72" width="9.421875" style="44" customWidth="1"/>
    <col min="73" max="73" width="4.421875" style="44" customWidth="1"/>
    <col min="74" max="75" width="4.421875" style="0" customWidth="1"/>
    <col min="76" max="76" width="11.140625" style="0" customWidth="1"/>
    <col min="77" max="77" width="9.00390625" style="0" customWidth="1"/>
    <col min="78" max="78" width="4.140625" style="0" customWidth="1"/>
    <col min="79" max="79" width="3.7109375" style="0" customWidth="1"/>
    <col min="80" max="80" width="4.28125" style="0" customWidth="1"/>
    <col min="81" max="81" width="3.7109375" style="0" customWidth="1"/>
    <col min="82" max="82" width="3.7109375" style="44" customWidth="1"/>
    <col min="83" max="83" width="5.00390625" style="0" customWidth="1"/>
    <col min="84" max="84" width="5.421875" style="0" customWidth="1"/>
    <col min="85" max="86" width="3.7109375" style="0" customWidth="1"/>
    <col min="87" max="87" width="11.57421875" style="0" customWidth="1"/>
    <col min="88" max="88" width="3.7109375" style="44" customWidth="1"/>
    <col min="89" max="89" width="7.8515625" style="0" customWidth="1"/>
    <col min="90" max="91" width="3.7109375" style="0" customWidth="1"/>
    <col min="92" max="92" width="12.28125" style="0" customWidth="1"/>
    <col min="93" max="93" width="6.7109375" style="0" customWidth="1"/>
    <col min="94" max="94" width="5.421875" style="44" customWidth="1"/>
    <col min="95" max="96" width="4.28125" style="0" customWidth="1"/>
    <col min="97" max="99" width="5.140625" style="0" customWidth="1"/>
    <col min="100" max="100" width="5.140625" style="44" customWidth="1"/>
    <col min="101" max="103" width="5.140625" style="0" customWidth="1"/>
    <col min="104" max="105" width="3.7109375" style="0" customWidth="1"/>
    <col min="106" max="106" width="3.7109375" style="44" customWidth="1"/>
    <col min="107" max="107" width="7.8515625" style="0" customWidth="1"/>
    <col min="108" max="110" width="3.7109375" style="0" customWidth="1"/>
    <col min="111" max="111" width="6.00390625" style="0" customWidth="1"/>
    <col min="112" max="112" width="10.421875" style="44" customWidth="1"/>
    <col min="113" max="113" width="6.00390625" style="0" customWidth="1"/>
    <col min="114" max="117" width="3.7109375" style="0" customWidth="1"/>
    <col min="118" max="118" width="3.7109375" style="44" customWidth="1"/>
    <col min="119" max="119" width="4.7109375" style="0" customWidth="1"/>
    <col min="120" max="120" width="5.8515625" style="0" customWidth="1"/>
    <col min="121" max="122" width="3.7109375" style="0" customWidth="1"/>
    <col min="123" max="123" width="7.28125" style="0" customWidth="1"/>
    <col min="124" max="124" width="5.28125" style="44" customWidth="1"/>
    <col min="125" max="129" width="3.7109375" style="0" customWidth="1"/>
    <col min="130" max="130" width="3.7109375" style="44" customWidth="1"/>
    <col min="131" max="131" width="5.8515625" style="0" customWidth="1"/>
    <col min="132" max="132" width="7.00390625" style="0" customWidth="1"/>
    <col min="133" max="133" width="5.8515625" style="0" customWidth="1"/>
    <col min="134" max="135" width="3.7109375" style="0" customWidth="1"/>
    <col min="136" max="136" width="3.7109375" style="44" customWidth="1"/>
    <col min="137" max="137" width="10.421875" style="0" customWidth="1"/>
    <col min="138" max="141" width="3.7109375" style="0" customWidth="1"/>
    <col min="142" max="142" width="10.421875" style="44" customWidth="1"/>
    <col min="143" max="143" width="3.57421875" style="44" customWidth="1"/>
    <col min="144" max="144" width="10.00390625" style="0" customWidth="1"/>
    <col min="145" max="148" width="3.7109375" style="0" customWidth="1"/>
    <col min="149" max="149" width="3.7109375" style="44" customWidth="1"/>
    <col min="150" max="150" width="3.7109375" style="48" customWidth="1"/>
    <col min="151" max="151" width="3.8515625" style="0" customWidth="1"/>
    <col min="152" max="152" width="6.57421875" style="0" customWidth="1"/>
    <col min="153" max="154" width="3.8515625" style="0" customWidth="1"/>
    <col min="155" max="155" width="3.7109375" style="0" customWidth="1"/>
    <col min="156" max="156" width="3.8515625" style="0" customWidth="1"/>
    <col min="157" max="158" width="4.28125" style="33" customWidth="1"/>
    <col min="159" max="159" width="5.28125" style="33" customWidth="1"/>
    <col min="160" max="160" width="4.8515625" style="33" customWidth="1"/>
    <col min="161" max="161" width="7.28125" style="33" customWidth="1"/>
    <col min="162" max="162" width="7.7109375" style="33" customWidth="1"/>
    <col min="163" max="166" width="5.7109375" style="33" customWidth="1"/>
    <col min="167" max="167" width="10.00390625" style="33" customWidth="1"/>
    <col min="168" max="171" width="6.7109375" style="33" customWidth="1"/>
    <col min="172" max="172" width="10.00390625" style="33" customWidth="1"/>
    <col min="173" max="178" width="5.7109375" style="33" customWidth="1"/>
    <col min="179" max="179" width="6.7109375" style="33" customWidth="1"/>
    <col min="180" max="180" width="5.7109375" style="33" customWidth="1"/>
    <col min="181" max="182" width="3.421875" style="33" customWidth="1"/>
    <col min="183" max="186" width="4.8515625" style="33" customWidth="1"/>
    <col min="187" max="187" width="6.140625" style="33" customWidth="1"/>
    <col min="188" max="188" width="7.140625" style="33" customWidth="1"/>
    <col min="189" max="189" width="5.28125" style="33" customWidth="1"/>
    <col min="190" max="190" width="2.421875" style="33" customWidth="1"/>
    <col min="191" max="191" width="7.7109375" style="33" customWidth="1"/>
    <col min="192" max="193" width="9.28125" style="34" customWidth="1"/>
    <col min="194" max="202" width="9.28125" style="33" customWidth="1"/>
    <col min="203" max="203" width="7.00390625" style="33" customWidth="1"/>
    <col min="204" max="204" width="7.421875" style="33" customWidth="1"/>
    <col min="205" max="208" width="6.00390625" style="33" customWidth="1"/>
    <col min="209" max="209" width="4.8515625" style="33" customWidth="1"/>
    <col min="210" max="210" width="11.421875" style="33" customWidth="1"/>
    <col min="211" max="211" width="6.57421875" style="33" customWidth="1"/>
    <col min="212" max="215" width="5.00390625" style="33" customWidth="1"/>
    <col min="216" max="217" width="5.57421875" style="33" customWidth="1"/>
    <col min="218" max="219" width="5.28125" style="33" customWidth="1"/>
    <col min="220" max="220" width="6.421875" style="33" customWidth="1"/>
    <col min="221" max="16384" width="11.421875" style="33" customWidth="1"/>
  </cols>
  <sheetData>
    <row r="1" spans="26:156" ht="15" customHeight="1">
      <c r="Z1" s="33"/>
      <c r="AA1" s="33"/>
      <c r="AB1" s="33"/>
      <c r="AK1" s="33"/>
      <c r="AL1" s="33"/>
      <c r="AM1" s="33"/>
      <c r="AN1" s="33"/>
      <c r="AO1" s="61"/>
      <c r="AP1" s="61"/>
      <c r="AQ1" s="61"/>
      <c r="AR1" s="61"/>
      <c r="AS1" s="61"/>
      <c r="AT1" s="61"/>
      <c r="AU1" s="61"/>
      <c r="AV1" s="61"/>
      <c r="AW1" s="61"/>
      <c r="AX1" s="61"/>
      <c r="AY1" s="61"/>
      <c r="AZ1" s="61"/>
      <c r="BA1" s="61"/>
      <c r="BB1" s="61"/>
      <c r="BC1" s="61"/>
      <c r="BD1" s="61"/>
      <c r="BE1" s="61"/>
      <c r="BF1" s="61"/>
      <c r="BG1" s="61"/>
      <c r="BH1" s="61"/>
      <c r="BI1" s="61"/>
      <c r="BJ1" s="61"/>
      <c r="BK1" s="248"/>
      <c r="BL1" s="255"/>
      <c r="BM1" s="61"/>
      <c r="BN1" s="61"/>
      <c r="BO1" s="61"/>
      <c r="BP1" s="61"/>
      <c r="BQ1" s="61"/>
      <c r="BR1" s="61"/>
      <c r="BS1" s="61"/>
      <c r="BT1" s="61"/>
      <c r="BU1" s="61"/>
      <c r="BV1" s="33"/>
      <c r="BW1" s="33"/>
      <c r="BX1" s="33"/>
      <c r="BY1" s="33"/>
      <c r="BZ1" s="33"/>
      <c r="CA1" s="33"/>
      <c r="CB1" s="33"/>
      <c r="CC1" s="33"/>
      <c r="CD1" s="61"/>
      <c r="CE1" s="33"/>
      <c r="CF1" s="33"/>
      <c r="CG1" s="33"/>
      <c r="CH1" s="33"/>
      <c r="CI1" s="33" t="str">
        <f>TRIM($AM$15&amp;AM16&amp;$AM$17)</f>
        <v>KU</v>
      </c>
      <c r="CJ1" s="61"/>
      <c r="CK1" s="33"/>
      <c r="CL1" s="33"/>
      <c r="CM1" s="33"/>
      <c r="CN1" s="33"/>
      <c r="CO1" s="33"/>
      <c r="CP1" s="61"/>
      <c r="CQ1" s="33"/>
      <c r="CR1" s="33"/>
      <c r="CS1" s="33"/>
      <c r="CT1" s="33"/>
      <c r="CU1" s="33"/>
      <c r="CV1" s="61"/>
      <c r="CW1" s="33"/>
      <c r="CX1" s="33"/>
      <c r="CY1" s="33"/>
      <c r="CZ1" s="33"/>
      <c r="DA1" s="33"/>
      <c r="DB1" s="61"/>
      <c r="DC1" s="33"/>
      <c r="DD1" s="33"/>
      <c r="DE1" s="33"/>
      <c r="DF1" s="33"/>
      <c r="DG1" s="33"/>
      <c r="DH1" s="61"/>
      <c r="DI1" s="33"/>
      <c r="DJ1" s="33"/>
      <c r="DK1" s="33"/>
      <c r="DL1" s="33"/>
      <c r="DM1" s="33"/>
      <c r="DN1" s="61"/>
      <c r="DO1" s="33"/>
      <c r="DP1" s="33"/>
      <c r="DQ1" s="33"/>
      <c r="DR1" s="33"/>
      <c r="DS1" s="33"/>
      <c r="DT1" s="61"/>
      <c r="DU1" s="33"/>
      <c r="DV1" s="33"/>
      <c r="DW1" s="33"/>
      <c r="DX1" s="33"/>
      <c r="DY1" s="33"/>
      <c r="DZ1" s="61"/>
      <c r="EA1" s="33"/>
      <c r="EB1" s="33"/>
      <c r="EC1" s="33"/>
      <c r="ED1" s="33"/>
      <c r="EE1" s="33"/>
      <c r="EF1" s="61"/>
      <c r="EG1" s="33"/>
      <c r="EH1" s="33"/>
      <c r="EI1" s="33"/>
      <c r="EJ1" s="33"/>
      <c r="EK1" s="33"/>
      <c r="EL1" s="61"/>
      <c r="EM1" s="61"/>
      <c r="EN1" s="33"/>
      <c r="EO1" s="33"/>
      <c r="EP1" s="33"/>
      <c r="EQ1" s="33"/>
      <c r="ER1" s="33"/>
      <c r="ES1" s="61"/>
      <c r="ET1" s="325"/>
      <c r="EU1" s="33"/>
      <c r="EV1" s="33"/>
      <c r="EW1" s="33"/>
      <c r="EX1" s="33"/>
      <c r="EY1" s="33"/>
      <c r="EZ1" s="33"/>
    </row>
    <row r="2" spans="2:220" ht="15" customHeight="1" thickBot="1">
      <c r="B2" s="839"/>
      <c r="C2" s="839"/>
      <c r="D2" s="839"/>
      <c r="E2" s="839"/>
      <c r="F2" s="839"/>
      <c r="G2" s="839"/>
      <c r="H2" s="839"/>
      <c r="I2" s="839"/>
      <c r="J2" s="839"/>
      <c r="K2" s="839"/>
      <c r="L2" s="839"/>
      <c r="M2" s="839"/>
      <c r="N2" s="839"/>
      <c r="O2" s="839"/>
      <c r="P2" s="389"/>
      <c r="Q2" s="389"/>
      <c r="R2" s="389"/>
      <c r="S2" s="389"/>
      <c r="T2" s="389"/>
      <c r="U2" s="389"/>
      <c r="V2" s="389"/>
      <c r="W2" s="389"/>
      <c r="X2" s="389"/>
      <c r="Y2" s="389"/>
      <c r="Z2" s="389"/>
      <c r="AA2" s="402"/>
      <c r="AB2" s="402"/>
      <c r="AC2" s="402"/>
      <c r="AD2" s="402"/>
      <c r="AE2" s="402"/>
      <c r="AF2" s="402"/>
      <c r="AG2" s="402"/>
      <c r="AH2" s="402"/>
      <c r="AI2" s="402"/>
      <c r="AJ2" s="402" t="s">
        <v>258</v>
      </c>
      <c r="AK2" s="402"/>
      <c r="AL2" s="402" t="s">
        <v>300</v>
      </c>
      <c r="AM2" s="402"/>
      <c r="AN2" s="402" t="s">
        <v>301</v>
      </c>
      <c r="AO2" s="402"/>
      <c r="AP2" s="402" t="s">
        <v>302</v>
      </c>
      <c r="AQ2" s="402"/>
      <c r="AR2" s="402" t="s">
        <v>260</v>
      </c>
      <c r="AS2" s="402"/>
      <c r="AT2" s="402" t="s">
        <v>70</v>
      </c>
      <c r="AV2" s="402" t="s">
        <v>312</v>
      </c>
      <c r="AW2" s="402"/>
      <c r="AX2" s="402" t="s">
        <v>314</v>
      </c>
      <c r="AY2" s="402"/>
      <c r="AZ2" s="402" t="s">
        <v>313</v>
      </c>
      <c r="BA2" s="402" t="s">
        <v>315</v>
      </c>
      <c r="BB2" s="402"/>
      <c r="BC2" s="402" t="s">
        <v>306</v>
      </c>
      <c r="BD2" s="402"/>
      <c r="BE2" s="402" t="s">
        <v>316</v>
      </c>
      <c r="BG2" s="402" t="s">
        <v>317</v>
      </c>
      <c r="BH2" s="402"/>
      <c r="BI2" s="402" t="s">
        <v>54</v>
      </c>
      <c r="BJ2" s="402"/>
      <c r="BK2" s="402" t="s">
        <v>318</v>
      </c>
      <c r="BL2" s="402"/>
      <c r="BM2" s="402" t="s">
        <v>319</v>
      </c>
      <c r="BN2" s="402"/>
      <c r="BO2" s="402" t="s">
        <v>320</v>
      </c>
      <c r="BP2" s="402"/>
      <c r="BQ2" s="402" t="s">
        <v>321</v>
      </c>
      <c r="BR2" s="402"/>
      <c r="BS2" s="402"/>
      <c r="BT2" s="402"/>
      <c r="BU2" s="402" t="s">
        <v>322</v>
      </c>
      <c r="BV2" s="402"/>
      <c r="BW2" s="402" t="s">
        <v>323</v>
      </c>
      <c r="BX2" s="401"/>
      <c r="BY2" s="401" t="s">
        <v>324</v>
      </c>
      <c r="BZ2" s="401"/>
      <c r="CA2" s="401"/>
      <c r="CB2" s="389"/>
      <c r="CC2" s="389"/>
      <c r="CD2" s="389"/>
      <c r="CE2" s="389"/>
      <c r="CF2" s="389"/>
      <c r="CG2" s="389"/>
      <c r="CH2" s="389"/>
      <c r="CI2" s="389"/>
      <c r="CJ2" s="389"/>
      <c r="CK2" s="389"/>
      <c r="CL2" s="389"/>
      <c r="CM2" s="389"/>
      <c r="CN2" s="389"/>
      <c r="CO2" s="389"/>
      <c r="CP2" s="389"/>
      <c r="CQ2" s="389"/>
      <c r="CR2" s="389"/>
      <c r="CS2" s="389"/>
      <c r="CT2" s="389"/>
      <c r="CU2" s="389"/>
      <c r="CV2" s="389"/>
      <c r="CW2" s="389"/>
      <c r="CX2" s="389"/>
      <c r="CY2" s="389"/>
      <c r="CZ2" s="389"/>
      <c r="DA2" s="389"/>
      <c r="DB2" s="389"/>
      <c r="DC2" s="389"/>
      <c r="DD2" s="389"/>
      <c r="DE2" s="389"/>
      <c r="DF2" s="389"/>
      <c r="DG2" s="389"/>
      <c r="DH2" s="389"/>
      <c r="DI2" s="389"/>
      <c r="DJ2" s="389"/>
      <c r="DK2" s="389"/>
      <c r="DL2" s="389"/>
      <c r="DM2" s="389"/>
      <c r="DN2" s="389"/>
      <c r="DO2" s="389"/>
      <c r="DP2" s="389"/>
      <c r="DQ2" s="389"/>
      <c r="DR2" s="389"/>
      <c r="DS2" s="389"/>
      <c r="DT2" s="663"/>
      <c r="DU2" s="663"/>
      <c r="DV2" s="663"/>
      <c r="DW2" s="663"/>
      <c r="DX2" s="663"/>
      <c r="DY2" s="663"/>
      <c r="DZ2" s="663"/>
      <c r="EA2" s="663"/>
      <c r="EB2" s="663"/>
      <c r="EC2" s="663"/>
      <c r="ED2" s="663"/>
      <c r="EE2" s="663"/>
      <c r="EF2" s="663"/>
      <c r="EG2" s="663"/>
      <c r="EH2" s="663"/>
      <c r="EI2" s="663"/>
      <c r="EJ2" s="663"/>
      <c r="EK2" s="663"/>
      <c r="EL2" s="663"/>
      <c r="EM2" s="663"/>
      <c r="EN2" s="663"/>
      <c r="EO2" s="663"/>
      <c r="EP2" s="663"/>
      <c r="EQ2" s="663"/>
      <c r="ER2" s="663"/>
      <c r="ES2" s="663"/>
      <c r="ET2" s="663"/>
      <c r="EU2" s="664"/>
      <c r="EV2" s="664"/>
      <c r="EW2" s="664"/>
      <c r="EX2" s="663"/>
      <c r="EY2" s="663"/>
      <c r="EZ2" s="663"/>
      <c r="FA2" s="663"/>
      <c r="FB2" s="663"/>
      <c r="FC2" s="663"/>
      <c r="FD2" s="663"/>
      <c r="FE2" s="663"/>
      <c r="FF2" s="663"/>
      <c r="FG2" s="663"/>
      <c r="FH2" s="663"/>
      <c r="FI2" s="663"/>
      <c r="FJ2" s="663"/>
      <c r="FK2" s="663"/>
      <c r="FL2" s="663"/>
      <c r="FM2" s="663"/>
      <c r="FN2" s="663"/>
      <c r="FO2" s="663"/>
      <c r="FP2" s="663"/>
      <c r="FQ2" s="663"/>
      <c r="FR2" s="663"/>
      <c r="FS2" s="663"/>
      <c r="FT2" s="663"/>
      <c r="FU2" s="663"/>
      <c r="FV2" s="663"/>
      <c r="FW2" s="663"/>
      <c r="FX2" s="663"/>
      <c r="FY2" s="663"/>
      <c r="FZ2" s="663"/>
      <c r="GA2" s="663"/>
      <c r="GB2" s="324"/>
      <c r="GC2" s="63"/>
      <c r="GD2" s="666"/>
      <c r="GE2" s="932"/>
      <c r="HG2" s="663"/>
      <c r="HH2" s="663"/>
      <c r="HI2" s="663"/>
      <c r="HJ2" s="663"/>
      <c r="HK2" s="663"/>
      <c r="HL2" s="663"/>
    </row>
    <row r="3" spans="2:220" ht="15" customHeight="1">
      <c r="B3" s="38"/>
      <c r="C3" s="38"/>
      <c r="D3" s="38"/>
      <c r="E3" s="38"/>
      <c r="F3" s="38"/>
      <c r="G3" s="38"/>
      <c r="H3" s="38"/>
      <c r="I3" s="1230"/>
      <c r="J3" s="38"/>
      <c r="K3" s="38"/>
      <c r="L3" s="38"/>
      <c r="M3" s="38"/>
      <c r="N3" s="38"/>
      <c r="O3" s="38"/>
      <c r="P3" s="38"/>
      <c r="Q3" s="38"/>
      <c r="R3" s="38"/>
      <c r="S3" s="38"/>
      <c r="T3" s="63"/>
      <c r="V3" s="62"/>
      <c r="W3" s="62"/>
      <c r="X3" s="35"/>
      <c r="Y3" s="35"/>
      <c r="Z3" s="33"/>
      <c r="AA3" s="33"/>
      <c r="AB3" s="33"/>
      <c r="AK3" s="33"/>
      <c r="AL3" s="33"/>
      <c r="AM3" s="33"/>
      <c r="AN3" s="33"/>
      <c r="AO3" s="61"/>
      <c r="AP3" s="61"/>
      <c r="AQ3" s="61"/>
      <c r="AR3" s="61"/>
      <c r="AS3" s="61"/>
      <c r="AT3" s="61"/>
      <c r="AU3" s="61"/>
      <c r="AV3" s="61"/>
      <c r="AW3" s="61"/>
      <c r="AX3" s="61"/>
      <c r="AY3" s="61"/>
      <c r="AZ3" s="61"/>
      <c r="BA3" s="61"/>
      <c r="BB3" s="61"/>
      <c r="BC3" s="61"/>
      <c r="BD3" s="61"/>
      <c r="BE3" s="61"/>
      <c r="BF3" s="61"/>
      <c r="BG3" s="61"/>
      <c r="BH3" s="61"/>
      <c r="BI3" s="61"/>
      <c r="BJ3" s="61"/>
      <c r="BK3" s="248"/>
      <c r="BL3" s="255"/>
      <c r="BM3" s="61"/>
      <c r="BN3" s="61"/>
      <c r="BO3" s="61"/>
      <c r="BP3" s="61"/>
      <c r="BQ3" s="61"/>
      <c r="BR3" s="61"/>
      <c r="BS3" s="61"/>
      <c r="BT3" s="61"/>
      <c r="BU3" s="61"/>
      <c r="BV3" s="33"/>
      <c r="BW3" s="33"/>
      <c r="BX3" s="33" t="str">
        <f>ADDRESS(ROW(BT15),COLUMN(BT15),4)</f>
        <v>BT15</v>
      </c>
      <c r="BY3" s="33"/>
      <c r="BZ3" s="33"/>
      <c r="CA3" s="33"/>
      <c r="CB3" s="33"/>
      <c r="CC3" s="33"/>
      <c r="CD3" s="61"/>
      <c r="CE3" s="33"/>
      <c r="CF3" s="33"/>
      <c r="CG3" s="33"/>
      <c r="CH3" s="33"/>
      <c r="CI3" s="33"/>
      <c r="CJ3" s="61"/>
      <c r="CK3" s="33"/>
      <c r="CL3" s="33"/>
      <c r="CM3" s="33"/>
      <c r="CN3" s="33"/>
      <c r="CO3" s="33"/>
      <c r="CP3" s="61"/>
      <c r="CQ3" s="33"/>
      <c r="CR3" s="33"/>
      <c r="CS3" s="33"/>
      <c r="CT3" s="33"/>
      <c r="CU3" s="33"/>
      <c r="CV3" s="61"/>
      <c r="CW3" s="33"/>
      <c r="CX3" s="33"/>
      <c r="CY3" s="33"/>
      <c r="CZ3" s="33"/>
      <c r="DA3" s="33"/>
      <c r="DB3" s="61"/>
      <c r="DC3" s="33"/>
      <c r="DD3" s="33"/>
      <c r="DE3" s="33"/>
      <c r="DF3" s="33"/>
      <c r="DG3" s="33"/>
      <c r="DH3" s="61"/>
      <c r="DI3" s="33"/>
      <c r="DJ3" s="33"/>
      <c r="DK3" s="33"/>
      <c r="DL3" s="33"/>
      <c r="DM3" s="33"/>
      <c r="DN3" s="61"/>
      <c r="DO3" s="33"/>
      <c r="DP3" s="33"/>
      <c r="DQ3" s="33"/>
      <c r="DR3" s="33"/>
      <c r="DS3" s="33"/>
      <c r="DT3" s="61"/>
      <c r="DU3" s="33"/>
      <c r="DV3" s="33"/>
      <c r="DW3" s="33"/>
      <c r="DX3" s="33"/>
      <c r="DY3" s="33"/>
      <c r="DZ3" s="61"/>
      <c r="EA3" s="33"/>
      <c r="EB3" s="33"/>
      <c r="EC3" s="33"/>
      <c r="ED3" s="33"/>
      <c r="EE3" s="33"/>
      <c r="EF3" s="61"/>
      <c r="EG3" s="33"/>
      <c r="EH3" s="33"/>
      <c r="EI3" s="33"/>
      <c r="EJ3" s="33"/>
      <c r="EK3" s="33"/>
      <c r="EL3" s="61"/>
      <c r="EM3" s="61"/>
      <c r="EN3" s="33"/>
      <c r="EO3" s="33"/>
      <c r="EP3" s="33"/>
      <c r="EQ3" s="33"/>
      <c r="ER3" s="33"/>
      <c r="ES3" s="61"/>
      <c r="ET3" s="325"/>
      <c r="EU3" s="324"/>
      <c r="EV3" s="324"/>
      <c r="EW3" s="324"/>
      <c r="EX3" s="324"/>
      <c r="EY3" s="324"/>
      <c r="EZ3" s="324"/>
      <c r="FA3" s="640"/>
      <c r="FB3" s="640"/>
      <c r="FC3" s="640"/>
      <c r="FD3" s="640"/>
      <c r="FE3" s="640"/>
      <c r="FF3" s="1034"/>
      <c r="FG3" s="1035"/>
      <c r="FH3" s="1035"/>
      <c r="FI3" s="1035"/>
      <c r="FJ3" s="1035"/>
      <c r="FK3" s="1035"/>
      <c r="FL3" s="1035"/>
      <c r="FM3" s="1035"/>
      <c r="FN3" s="1035"/>
      <c r="FO3" s="1035"/>
      <c r="FP3" s="1035"/>
      <c r="FQ3" s="1035"/>
      <c r="FR3" s="1035"/>
      <c r="FS3" s="1035"/>
      <c r="FT3" s="1035"/>
      <c r="FU3" s="1035"/>
      <c r="FV3" s="1035"/>
      <c r="FW3" s="1035"/>
      <c r="FX3" s="1035"/>
      <c r="FY3" s="1035"/>
      <c r="FZ3" s="1035"/>
      <c r="GA3" s="1066"/>
      <c r="GB3" s="1035"/>
      <c r="GC3" s="1035"/>
      <c r="GD3" s="1035"/>
      <c r="GE3" s="1036"/>
      <c r="GJ3" s="63"/>
      <c r="HG3" s="640"/>
      <c r="HH3" s="640"/>
      <c r="HI3" s="640"/>
      <c r="HJ3" s="640"/>
      <c r="HK3" s="640"/>
      <c r="HL3" s="640"/>
    </row>
    <row r="4" spans="1:226" ht="66" customHeight="1">
      <c r="A4" s="325"/>
      <c r="B4" s="803"/>
      <c r="C4" s="803"/>
      <c r="D4" s="857"/>
      <c r="E4" s="857"/>
      <c r="F4" s="857"/>
      <c r="G4" s="803"/>
      <c r="H4" s="803"/>
      <c r="I4" s="803"/>
      <c r="N4" s="803"/>
      <c r="O4" s="803"/>
      <c r="P4" s="830"/>
      <c r="Q4" s="38"/>
      <c r="R4" s="38"/>
      <c r="S4" s="38"/>
      <c r="T4" s="1541" t="s">
        <v>62</v>
      </c>
      <c r="U4" s="1541"/>
      <c r="V4" s="1541" t="s">
        <v>63</v>
      </c>
      <c r="W4" s="1541"/>
      <c r="X4" s="35"/>
      <c r="Z4" s="33"/>
      <c r="AA4" s="320" t="s">
        <v>212</v>
      </c>
      <c r="AB4" s="269" t="s">
        <v>169</v>
      </c>
      <c r="AC4" s="269" t="s">
        <v>211</v>
      </c>
      <c r="AD4" s="246" t="s">
        <v>213</v>
      </c>
      <c r="AE4" s="246" t="s">
        <v>194</v>
      </c>
      <c r="AF4" s="246" t="s">
        <v>193</v>
      </c>
      <c r="AG4" s="246" t="s">
        <v>261</v>
      </c>
      <c r="AH4" s="246" t="s">
        <v>255</v>
      </c>
      <c r="AI4" s="246" t="s">
        <v>396</v>
      </c>
      <c r="AJ4" s="289" t="s">
        <v>21</v>
      </c>
      <c r="AK4" s="254" t="s">
        <v>216</v>
      </c>
      <c r="AL4" s="254"/>
      <c r="AM4" s="246" t="s">
        <v>284</v>
      </c>
      <c r="AN4" s="246"/>
      <c r="AO4" s="1438" t="s">
        <v>217</v>
      </c>
      <c r="AP4" s="1438"/>
      <c r="AQ4" s="1438"/>
      <c r="AR4" s="1438"/>
      <c r="AS4" s="1438"/>
      <c r="AT4" s="254"/>
      <c r="AU4" s="254" t="s">
        <v>292</v>
      </c>
      <c r="AW4" s="254" t="s">
        <v>293</v>
      </c>
      <c r="AX4" s="254"/>
      <c r="AY4" s="254" t="s">
        <v>294</v>
      </c>
      <c r="BA4" s="44">
        <f>BD19</f>
      </c>
      <c r="BB4" s="254"/>
      <c r="BC4" s="254"/>
      <c r="BD4" s="254" t="s">
        <v>282</v>
      </c>
      <c r="BE4" s="1439" t="s">
        <v>283</v>
      </c>
      <c r="BF4" s="1439"/>
      <c r="BG4" s="1439" t="s">
        <v>214</v>
      </c>
      <c r="BH4" s="1439"/>
      <c r="BI4" s="1439"/>
      <c r="BJ4" s="1439"/>
      <c r="BK4" s="272"/>
      <c r="BL4" s="406"/>
      <c r="BM4" s="1439" t="s">
        <v>221</v>
      </c>
      <c r="BN4" s="1439"/>
      <c r="BO4" s="1439"/>
      <c r="BP4" s="1439"/>
      <c r="BQ4" s="246"/>
      <c r="BR4" s="1559" t="s">
        <v>384</v>
      </c>
      <c r="BS4" s="1559"/>
      <c r="BT4" s="1439" t="s">
        <v>223</v>
      </c>
      <c r="BU4" s="1439"/>
      <c r="BV4" s="1439"/>
      <c r="BW4" s="1439"/>
      <c r="BX4" s="246"/>
      <c r="BY4" s="254" t="s">
        <v>476</v>
      </c>
      <c r="BZ4" s="254"/>
      <c r="CA4" s="1439" t="s">
        <v>381</v>
      </c>
      <c r="CB4" s="1439"/>
      <c r="CC4" s="1439"/>
      <c r="CD4" s="1439"/>
      <c r="CE4" s="246"/>
      <c r="CF4" s="246"/>
      <c r="CG4" s="254"/>
      <c r="CH4" s="254"/>
      <c r="CI4" s="254"/>
      <c r="CJ4" s="61"/>
      <c r="CK4" s="246"/>
      <c r="CL4" s="246"/>
      <c r="CM4" s="254"/>
      <c r="CN4" s="1104" t="s">
        <v>496</v>
      </c>
      <c r="CO4" s="1103" t="s">
        <v>495</v>
      </c>
      <c r="CP4" s="61"/>
      <c r="CQ4" s="246"/>
      <c r="CR4" s="246"/>
      <c r="CS4" s="254"/>
      <c r="CT4" s="254"/>
      <c r="CU4" s="254"/>
      <c r="CV4" s="61"/>
      <c r="CW4" s="246"/>
      <c r="CX4" s="246"/>
      <c r="CY4" s="254"/>
      <c r="CZ4" s="254"/>
      <c r="DA4" s="254"/>
      <c r="DB4" s="61"/>
      <c r="DC4" s="246"/>
      <c r="DD4" s="246"/>
      <c r="DE4" s="1541" t="s">
        <v>62</v>
      </c>
      <c r="DF4" s="1541"/>
      <c r="DG4" s="254"/>
      <c r="DH4" s="61"/>
      <c r="DI4" s="246"/>
      <c r="DJ4" s="246"/>
      <c r="DK4" s="254"/>
      <c r="DL4" s="254"/>
      <c r="DM4" s="254"/>
      <c r="DN4" s="61"/>
      <c r="DO4" s="246"/>
      <c r="DP4" s="246"/>
      <c r="DQ4" s="254"/>
      <c r="DR4" s="254"/>
      <c r="DS4" s="254"/>
      <c r="DT4" s="61"/>
      <c r="DU4" s="246"/>
      <c r="DV4" s="246"/>
      <c r="DW4" s="254"/>
      <c r="DX4" s="254"/>
      <c r="DY4" s="254"/>
      <c r="DZ4" s="61"/>
      <c r="EA4" s="246"/>
      <c r="EB4" s="246"/>
      <c r="EC4" s="254"/>
      <c r="ED4" s="254"/>
      <c r="EE4" s="254"/>
      <c r="EF4" s="61"/>
      <c r="EG4" s="755" t="s">
        <v>62</v>
      </c>
      <c r="EH4" s="755"/>
      <c r="EI4" s="86"/>
      <c r="EJ4" s="254"/>
      <c r="EK4" s="254"/>
      <c r="EL4" s="61"/>
      <c r="EM4" s="61"/>
      <c r="EN4" s="246"/>
      <c r="EO4" s="246"/>
      <c r="EP4" s="254"/>
      <c r="EQ4" s="254"/>
      <c r="ER4" s="254"/>
      <c r="ES4" s="61"/>
      <c r="ET4" s="392"/>
      <c r="EU4" s="671"/>
      <c r="EV4" s="671"/>
      <c r="EW4" s="255"/>
      <c r="EX4" s="255"/>
      <c r="EY4" s="255"/>
      <c r="EZ4" s="255"/>
      <c r="FA4" s="671"/>
      <c r="FB4" s="963"/>
      <c r="FC4" s="964"/>
      <c r="FD4" s="857"/>
      <c r="FE4" s="857"/>
      <c r="FF4" s="857"/>
      <c r="FG4" s="857"/>
      <c r="FH4" s="857"/>
      <c r="FI4" s="857"/>
      <c r="FJ4" s="857"/>
      <c r="FK4" s="857"/>
      <c r="FL4" s="857"/>
      <c r="FM4" s="857"/>
      <c r="FN4" s="857"/>
      <c r="FO4" s="857"/>
      <c r="FP4" s="857"/>
      <c r="FQ4" s="857"/>
      <c r="FR4" s="857"/>
      <c r="FS4" s="857"/>
      <c r="FT4" s="857"/>
      <c r="FU4" s="857"/>
      <c r="FV4" s="857"/>
      <c r="FW4" s="857"/>
      <c r="FX4" s="857"/>
      <c r="FY4" s="857"/>
      <c r="FZ4" s="857"/>
      <c r="GA4" s="857"/>
      <c r="GB4" s="857"/>
      <c r="GC4" s="857"/>
      <c r="GD4" s="857"/>
      <c r="GE4" s="647"/>
      <c r="GJ4" s="755"/>
      <c r="GK4" s="755" t="s">
        <v>62</v>
      </c>
      <c r="GL4" s="755"/>
      <c r="GM4" s="755"/>
      <c r="GN4" s="755"/>
      <c r="GO4" s="755"/>
      <c r="GP4" s="755"/>
      <c r="GQ4" s="755"/>
      <c r="GR4" s="755"/>
      <c r="GS4" s="755"/>
      <c r="HG4" s="754"/>
      <c r="HH4" s="754"/>
      <c r="HI4" s="754"/>
      <c r="HJ4" s="857"/>
      <c r="HK4" s="857"/>
      <c r="HL4" s="857"/>
      <c r="HQ4" s="755" t="s">
        <v>62</v>
      </c>
      <c r="HR4" s="755"/>
    </row>
    <row r="5" spans="2:226" ht="15" customHeight="1">
      <c r="B5" s="640"/>
      <c r="C5" s="640"/>
      <c r="D5" s="640"/>
      <c r="E5" s="640"/>
      <c r="F5" s="640"/>
      <c r="G5" s="640"/>
      <c r="H5" s="640"/>
      <c r="I5" s="640"/>
      <c r="J5" s="640"/>
      <c r="K5" s="640"/>
      <c r="L5" s="640"/>
      <c r="M5" s="640"/>
      <c r="N5" s="640"/>
      <c r="O5" s="640"/>
      <c r="P5" s="38"/>
      <c r="Q5" s="38"/>
      <c r="R5" s="38"/>
      <c r="S5" s="38"/>
      <c r="T5" s="63"/>
      <c r="V5" s="62"/>
      <c r="W5" s="62"/>
      <c r="X5" s="35"/>
      <c r="Z5" s="33"/>
      <c r="AA5" s="33"/>
      <c r="AB5" s="269"/>
      <c r="AK5" s="33"/>
      <c r="AL5" s="33"/>
      <c r="AM5" s="33"/>
      <c r="AN5" s="33"/>
      <c r="AO5" s="61"/>
      <c r="AP5" s="61"/>
      <c r="AQ5" s="61"/>
      <c r="AR5" s="61"/>
      <c r="AS5" s="61"/>
      <c r="AT5" s="61"/>
      <c r="AU5" s="61"/>
      <c r="AV5" s="61"/>
      <c r="AW5" s="61"/>
      <c r="AX5" s="61"/>
      <c r="AY5" s="61"/>
      <c r="AZ5" s="61"/>
      <c r="BA5" s="61">
        <f>LEFT(BD19,2)</f>
      </c>
      <c r="BB5" s="61"/>
      <c r="BC5" s="61"/>
      <c r="BD5" s="61"/>
      <c r="BE5" s="61"/>
      <c r="BF5" s="61"/>
      <c r="BG5" s="61"/>
      <c r="BH5" s="61"/>
      <c r="BI5" s="61"/>
      <c r="BJ5" s="61"/>
      <c r="BK5" s="248"/>
      <c r="BL5" s="255"/>
      <c r="BM5" s="61"/>
      <c r="BN5" s="61"/>
      <c r="BO5" s="61"/>
      <c r="BP5" s="61"/>
      <c r="BQ5" s="61"/>
      <c r="BR5" s="1559"/>
      <c r="BS5" s="1559"/>
      <c r="BV5" s="33"/>
      <c r="BW5" s="33"/>
      <c r="BX5" s="33"/>
      <c r="BY5" s="33"/>
      <c r="BZ5" s="33"/>
      <c r="CA5" s="33" t="s">
        <v>471</v>
      </c>
      <c r="CB5" s="33"/>
      <c r="CC5" s="33"/>
      <c r="CD5" s="33"/>
      <c r="CE5" s="33"/>
      <c r="CF5" s="33" t="s">
        <v>473</v>
      </c>
      <c r="CG5" s="33" t="s">
        <v>472</v>
      </c>
      <c r="CH5" s="33"/>
      <c r="CI5" s="33" t="s">
        <v>450</v>
      </c>
      <c r="CJ5" s="61"/>
      <c r="CK5" s="33"/>
      <c r="CL5" s="33"/>
      <c r="CM5" s="382" t="s">
        <v>498</v>
      </c>
      <c r="CN5" s="1103">
        <f>IF(OR(AND(COUNTIF(D11:D13,"")=0,COUNTIF(E11:E13,"")=3,COUNTIF(AB11:AB13,4)=3),AND(COUNTIF(D25:D27,"")=0,COUNTIF(E25:E27,"")=3,COUNTIF(AB25:AB27,4)=3)),2,1)</f>
        <v>1</v>
      </c>
      <c r="CO5" s="33" t="s">
        <v>493</v>
      </c>
      <c r="CP5" s="61"/>
      <c r="CQ5" s="33"/>
      <c r="CR5" s="33"/>
      <c r="CS5" s="33"/>
      <c r="CT5" s="33"/>
      <c r="CU5" s="33"/>
      <c r="CV5" s="61"/>
      <c r="CW5" s="33"/>
      <c r="CX5" s="33"/>
      <c r="CY5" s="33"/>
      <c r="CZ5" s="33"/>
      <c r="DA5" s="33"/>
      <c r="DB5" s="61"/>
      <c r="DC5" s="33"/>
      <c r="DD5" s="33"/>
      <c r="DE5" s="63"/>
      <c r="DF5" s="34"/>
      <c r="DG5" s="33"/>
      <c r="DH5" s="61"/>
      <c r="DI5" s="33"/>
      <c r="DJ5" s="33"/>
      <c r="DK5" s="33"/>
      <c r="DL5" s="33"/>
      <c r="DM5" s="33"/>
      <c r="DN5" s="61"/>
      <c r="DO5" s="33"/>
      <c r="DP5" s="33"/>
      <c r="DQ5" s="33"/>
      <c r="DR5" s="33"/>
      <c r="DS5" s="33"/>
      <c r="DT5" s="61"/>
      <c r="DU5" s="33"/>
      <c r="DV5" s="33"/>
      <c r="DW5" s="33"/>
      <c r="DX5" s="33"/>
      <c r="DY5" s="33"/>
      <c r="DZ5" s="61"/>
      <c r="EA5" s="33"/>
      <c r="EB5" s="33"/>
      <c r="EC5" s="33"/>
      <c r="ED5" s="33"/>
      <c r="EE5" s="33"/>
      <c r="EF5" s="61"/>
      <c r="EG5" s="63"/>
      <c r="EH5" s="34"/>
      <c r="EI5" s="33"/>
      <c r="EJ5" s="33"/>
      <c r="EK5" s="33"/>
      <c r="EL5" s="61"/>
      <c r="EM5" s="61"/>
      <c r="EN5" s="33"/>
      <c r="EO5" s="33"/>
      <c r="EP5" s="33"/>
      <c r="EQ5" s="33"/>
      <c r="ER5" s="33"/>
      <c r="ES5" s="61"/>
      <c r="ET5" s="325"/>
      <c r="EU5" s="324"/>
      <c r="EV5" s="324"/>
      <c r="EW5" s="324"/>
      <c r="EX5" s="324"/>
      <c r="EY5" s="324"/>
      <c r="EZ5" s="324"/>
      <c r="FA5" s="640"/>
      <c r="FB5" s="640"/>
      <c r="FC5" s="640"/>
      <c r="FD5" s="640"/>
      <c r="FE5" s="640"/>
      <c r="FF5" s="640"/>
      <c r="FG5" s="640"/>
      <c r="FH5" s="640"/>
      <c r="FI5" s="640"/>
      <c r="FJ5" s="640"/>
      <c r="FK5" s="640"/>
      <c r="FL5" s="640"/>
      <c r="FM5" s="640"/>
      <c r="FN5" s="640"/>
      <c r="FO5" s="640"/>
      <c r="FP5" s="640"/>
      <c r="FQ5" s="640"/>
      <c r="FR5" s="640"/>
      <c r="FS5" s="640"/>
      <c r="FT5" s="640"/>
      <c r="FU5" s="640"/>
      <c r="FV5" s="640"/>
      <c r="FW5" s="640"/>
      <c r="FX5" s="640"/>
      <c r="FY5" s="640"/>
      <c r="FZ5" s="640"/>
      <c r="GA5" s="640"/>
      <c r="GB5" s="640"/>
      <c r="GC5" s="640"/>
      <c r="GD5" s="640"/>
      <c r="GE5" s="38"/>
      <c r="GJ5" s="63"/>
      <c r="GK5" s="63"/>
      <c r="GL5" s="34"/>
      <c r="GM5" s="34"/>
      <c r="GN5" s="34"/>
      <c r="GO5" s="34"/>
      <c r="GP5" s="34"/>
      <c r="GQ5" s="34"/>
      <c r="GR5" s="34"/>
      <c r="GS5" s="34"/>
      <c r="HG5" s="640"/>
      <c r="HH5" s="640"/>
      <c r="HI5" s="640"/>
      <c r="HJ5" s="640"/>
      <c r="HK5" s="640"/>
      <c r="HL5" s="640"/>
      <c r="HQ5" s="63"/>
      <c r="HR5" s="34"/>
    </row>
    <row r="6" spans="2:226" ht="15" customHeight="1">
      <c r="B6" s="448"/>
      <c r="C6" s="448"/>
      <c r="D6" s="448"/>
      <c r="E6" s="448"/>
      <c r="F6" s="448"/>
      <c r="G6" s="448"/>
      <c r="H6" s="448"/>
      <c r="I6" s="448"/>
      <c r="J6" s="448"/>
      <c r="K6" s="448"/>
      <c r="L6" s="448"/>
      <c r="M6" s="448"/>
      <c r="N6" s="448"/>
      <c r="O6" s="448"/>
      <c r="Q6" s="1551">
        <f>IF(OR(AND(3-COUNTIF(D11:D13,"")&gt;=2,4-COUNTIF(D25:D28,"")&gt;=2,COUNT(H11:H13)&gt;=2,COUNT(H25:H28)&gt;=2),AND(4-COUNTIF(D25:D28,"")&gt;2,COUNT(H25:H28)&gt;2))," Schriftlich-keit bei          FS / NW eingeben!","")</f>
      </c>
      <c r="R6" s="1551"/>
      <c r="T6" s="64" t="s">
        <v>64</v>
      </c>
      <c r="U6" s="64" t="s">
        <v>65</v>
      </c>
      <c r="V6" s="64" t="s">
        <v>64</v>
      </c>
      <c r="W6" s="64" t="s">
        <v>65</v>
      </c>
      <c r="Z6" s="33"/>
      <c r="AA6" s="33"/>
      <c r="AB6" s="269"/>
      <c r="AK6" s="1438"/>
      <c r="AL6" s="254"/>
      <c r="AM6" s="33"/>
      <c r="AN6" s="33"/>
      <c r="AO6" s="61"/>
      <c r="AP6" s="61"/>
      <c r="AQ6" s="61"/>
      <c r="AR6" s="61"/>
      <c r="AS6" s="61"/>
      <c r="AT6" s="61"/>
      <c r="AU6" s="61"/>
      <c r="AV6" s="61"/>
      <c r="AW6" s="61"/>
      <c r="AX6" s="61"/>
      <c r="AY6" s="61"/>
      <c r="AZ6" s="61"/>
      <c r="BA6" s="61">
        <f>RIGHT(BD19,2)</f>
      </c>
      <c r="BB6" s="61"/>
      <c r="BC6" s="61"/>
      <c r="BD6" s="61"/>
      <c r="BE6" s="1439" t="s">
        <v>262</v>
      </c>
      <c r="BF6" s="61"/>
      <c r="BG6" s="61"/>
      <c r="BH6" s="61"/>
      <c r="BI6" s="61"/>
      <c r="BK6" s="1552" t="s">
        <v>222</v>
      </c>
      <c r="BL6" s="1558" t="s">
        <v>299</v>
      </c>
      <c r="BO6" s="61"/>
      <c r="BP6" s="61"/>
      <c r="BQ6" s="61"/>
      <c r="BR6" s="1559"/>
      <c r="BS6" s="1559"/>
      <c r="BV6" s="33"/>
      <c r="BW6" s="33"/>
      <c r="BX6" s="33"/>
      <c r="BY6" s="33" t="e">
        <f>MATCH(ADDRESS(ROW(BT15),COLUMN(BT15),4),$BX$38:$BX$49,0)</f>
        <v>#N/A</v>
      </c>
      <c r="BZ6" s="33"/>
      <c r="CA6" s="33">
        <f>IF(COUNT(CA11:CA31)=0,99,MIN(CA11:CA31))</f>
        <v>99</v>
      </c>
      <c r="CB6" s="33">
        <f>IF(COUNT(CB11:CB31)=0,99,MIN(CB11:CB31))</f>
        <v>99</v>
      </c>
      <c r="CC6" s="33">
        <f>IF(COUNT(CC11:CC31)=0,99,MIN(CC11:CC31))</f>
        <v>99</v>
      </c>
      <c r="CD6" s="33">
        <f>IF(COUNT(CD11:CD31)=0,99,MIN(CD11:CD31))</f>
        <v>99</v>
      </c>
      <c r="CE6" s="33"/>
      <c r="CF6" s="33">
        <f>MIN(CA6:CD6)</f>
        <v>99</v>
      </c>
      <c r="CG6" s="33">
        <f>MATCH(CF6,CA6:CD6,0)+COLUMN(BZ6)</f>
        <v>79</v>
      </c>
      <c r="CH6" s="33"/>
      <c r="CI6" s="33">
        <f>IF(OR(CG8="",COUNTIF(H32:K32,"")=4),"",ADDRESS(VALUE(CG8)+10,VALUE(CG6),4))</f>
      </c>
      <c r="CJ6" s="61"/>
      <c r="CK6" s="33"/>
      <c r="CL6" s="33"/>
      <c r="CM6" s="33"/>
      <c r="CN6" s="33"/>
      <c r="CO6" s="33"/>
      <c r="CP6" s="61"/>
      <c r="CQ6" s="33"/>
      <c r="CR6" s="33"/>
      <c r="CS6" s="33"/>
      <c r="CT6" s="33"/>
      <c r="CU6" s="33"/>
      <c r="CV6" s="61"/>
      <c r="CW6" s="33"/>
      <c r="CX6" s="33"/>
      <c r="CY6" s="33"/>
      <c r="CZ6" s="33"/>
      <c r="DA6" s="33"/>
      <c r="DB6" s="61"/>
      <c r="DC6" s="33"/>
      <c r="DD6" s="33"/>
      <c r="DE6" s="64" t="s">
        <v>64</v>
      </c>
      <c r="DF6" s="64" t="s">
        <v>65</v>
      </c>
      <c r="DG6" s="933" t="s">
        <v>364</v>
      </c>
      <c r="DH6" s="642"/>
      <c r="DI6" s="642"/>
      <c r="DJ6" s="642"/>
      <c r="DK6" s="642"/>
      <c r="DL6" s="642"/>
      <c r="DM6" s="642"/>
      <c r="DN6" s="642"/>
      <c r="DO6" s="33"/>
      <c r="DP6" s="33"/>
      <c r="DQ6" s="33" t="s">
        <v>443</v>
      </c>
      <c r="DR6" s="33"/>
      <c r="DS6" s="33"/>
      <c r="DT6" s="61"/>
      <c r="DU6" s="33"/>
      <c r="DV6" s="33"/>
      <c r="DW6" s="33"/>
      <c r="DX6" s="33"/>
      <c r="DY6" s="33"/>
      <c r="DZ6" s="61"/>
      <c r="EA6" s="33"/>
      <c r="EB6" s="33"/>
      <c r="EC6" s="33"/>
      <c r="ED6" s="33"/>
      <c r="EE6" s="33"/>
      <c r="EF6" s="61"/>
      <c r="EG6" s="64" t="s">
        <v>64</v>
      </c>
      <c r="EH6" s="64" t="s">
        <v>65</v>
      </c>
      <c r="EI6" s="33"/>
      <c r="EJ6" s="33"/>
      <c r="EK6" s="33"/>
      <c r="EL6" s="61"/>
      <c r="EM6" s="61"/>
      <c r="EN6" s="33" t="s">
        <v>444</v>
      </c>
      <c r="EO6" s="33"/>
      <c r="EP6" s="33"/>
      <c r="EQ6" s="33"/>
      <c r="ER6" s="33"/>
      <c r="ES6" s="61"/>
      <c r="ET6" s="325"/>
      <c r="EU6" s="324"/>
      <c r="EV6" s="324"/>
      <c r="EW6" s="324"/>
      <c r="EX6" s="324"/>
      <c r="EY6" s="324"/>
      <c r="EZ6" s="324"/>
      <c r="FA6" s="448"/>
      <c r="FB6" s="448"/>
      <c r="FC6" s="448"/>
      <c r="FD6" s="448"/>
      <c r="FE6" s="448"/>
      <c r="FF6" s="448"/>
      <c r="FG6" s="448"/>
      <c r="FH6" s="448"/>
      <c r="FI6" s="448"/>
      <c r="FJ6" s="448"/>
      <c r="FK6" s="448"/>
      <c r="FL6" s="448"/>
      <c r="FM6" s="448"/>
      <c r="FN6" s="448"/>
      <c r="FO6" s="448"/>
      <c r="FP6" s="448"/>
      <c r="GK6" s="64" t="s">
        <v>64</v>
      </c>
      <c r="GL6" s="64" t="s">
        <v>65</v>
      </c>
      <c r="GM6" s="64"/>
      <c r="GN6" s="64"/>
      <c r="GO6" s="64"/>
      <c r="GP6" s="64"/>
      <c r="GQ6" s="64"/>
      <c r="GR6" s="64"/>
      <c r="GS6" s="64"/>
      <c r="GT6" s="324"/>
      <c r="GU6" s="324"/>
      <c r="GV6" s="324"/>
      <c r="GW6" s="324"/>
      <c r="GX6" s="324"/>
      <c r="GY6" s="324"/>
      <c r="GZ6" s="324"/>
      <c r="HA6" s="324"/>
      <c r="HB6" s="324"/>
      <c r="HG6" s="448"/>
      <c r="HH6" s="448"/>
      <c r="HI6" s="448"/>
      <c r="HJ6" s="448"/>
      <c r="HK6" s="448"/>
      <c r="HL6" s="448"/>
      <c r="HQ6" s="64" t="s">
        <v>64</v>
      </c>
      <c r="HR6" s="64" t="s">
        <v>65</v>
      </c>
    </row>
    <row r="7" spans="2:226" ht="15" customHeight="1">
      <c r="B7" s="673"/>
      <c r="D7" s="808" t="s">
        <v>17</v>
      </c>
      <c r="E7" s="809"/>
      <c r="F7" s="1539"/>
      <c r="G7" s="1540"/>
      <c r="H7" s="1545" t="s">
        <v>249</v>
      </c>
      <c r="I7" s="1546"/>
      <c r="J7" s="1546"/>
      <c r="K7" s="1546"/>
      <c r="L7" s="1542" t="s">
        <v>296</v>
      </c>
      <c r="O7" s="758"/>
      <c r="P7" s="39"/>
      <c r="Q7" s="1551"/>
      <c r="R7" s="1551"/>
      <c r="S7" s="373"/>
      <c r="T7" s="64"/>
      <c r="U7" s="64"/>
      <c r="V7" s="64"/>
      <c r="W7" s="64"/>
      <c r="Z7" s="33"/>
      <c r="AA7" s="33"/>
      <c r="AB7" s="33"/>
      <c r="AJ7" s="376" t="s">
        <v>258</v>
      </c>
      <c r="AK7" s="1438"/>
      <c r="AL7" s="375"/>
      <c r="AM7" s="33"/>
      <c r="AN7" s="33"/>
      <c r="AO7" s="61"/>
      <c r="AP7" s="61"/>
      <c r="AQ7" s="61"/>
      <c r="AR7" s="61"/>
      <c r="AS7" s="61"/>
      <c r="AT7" s="61"/>
      <c r="AU7" s="61"/>
      <c r="AV7" s="61"/>
      <c r="AW7" s="61"/>
      <c r="AX7" s="61"/>
      <c r="AY7" s="61"/>
      <c r="AZ7" s="61"/>
      <c r="BA7" s="61"/>
      <c r="BB7" s="61"/>
      <c r="BC7" s="61"/>
      <c r="BD7" s="61"/>
      <c r="BE7" s="1439"/>
      <c r="BF7" s="61"/>
      <c r="BG7" s="254"/>
      <c r="BH7" s="1544" t="s">
        <v>220</v>
      </c>
      <c r="BI7" s="1439" t="s">
        <v>219</v>
      </c>
      <c r="BJ7" s="1544" t="s">
        <v>250</v>
      </c>
      <c r="BK7" s="1552"/>
      <c r="BL7" s="1558"/>
      <c r="BM7" s="1067">
        <v>1</v>
      </c>
      <c r="BN7" s="1068">
        <v>2</v>
      </c>
      <c r="BO7" s="1069">
        <v>3</v>
      </c>
      <c r="BP7" s="1069">
        <v>4</v>
      </c>
      <c r="BQ7" s="1069"/>
      <c r="BR7" s="1070"/>
      <c r="BS7" s="1070"/>
      <c r="BT7" s="1067">
        <v>1</v>
      </c>
      <c r="BU7" s="1067">
        <v>2</v>
      </c>
      <c r="BV7" s="1071">
        <v>3</v>
      </c>
      <c r="BW7" s="1071">
        <v>4</v>
      </c>
      <c r="BX7" s="33"/>
      <c r="BY7" s="86"/>
      <c r="BZ7" s="33"/>
      <c r="CA7" s="33">
        <f>IF(ISNA(MATCH(CA6,CA11:CA31,0))=TRUE,"",MATCH(CA6,CA11:CA31,0))</f>
      </c>
      <c r="CB7" s="33">
        <f>IF(ISNA(MATCH(CB6,CB11:CB31,0))=TRUE,"",MATCH(CB6,CB11:CB31,0))</f>
      </c>
      <c r="CC7" s="33">
        <f>IF(ISNA(MATCH(CC6,CC11:CC31,0))=TRUE,"",MATCH(CC6,CC11:CC31,0))</f>
      </c>
      <c r="CD7" s="33">
        <f>IF(ISNA(MATCH(CD6,CD11:CD31,0))=TRUE,"",MATCH(CD6,CD11:CD31,0))</f>
      </c>
      <c r="CE7" s="33"/>
      <c r="CG7" s="61" t="s">
        <v>452</v>
      </c>
      <c r="CH7" s="61"/>
      <c r="CI7" s="61"/>
      <c r="CJ7" s="61"/>
      <c r="CK7" s="33"/>
      <c r="CL7" s="33"/>
      <c r="CM7" s="673"/>
      <c r="CN7" s="33"/>
      <c r="CO7" s="799" t="s">
        <v>17</v>
      </c>
      <c r="CP7" s="800"/>
      <c r="CQ7" s="1491" t="s">
        <v>176</v>
      </c>
      <c r="CR7" s="1492"/>
      <c r="CS7" s="1493" t="s">
        <v>175</v>
      </c>
      <c r="CT7" s="1493"/>
      <c r="CU7" s="1493"/>
      <c r="CV7" s="1494"/>
      <c r="CW7" s="1471" t="s">
        <v>19</v>
      </c>
      <c r="CX7" s="1472"/>
      <c r="CY7" s="1472"/>
      <c r="CZ7" s="39"/>
      <c r="DA7" s="646"/>
      <c r="DB7" s="646"/>
      <c r="DC7" s="646"/>
      <c r="DD7" s="33"/>
      <c r="DE7" s="64"/>
      <c r="DF7" s="64"/>
      <c r="DG7" s="327"/>
      <c r="DH7" s="327"/>
      <c r="DI7" s="327"/>
      <c r="DJ7" s="327"/>
      <c r="DK7" s="327"/>
      <c r="DL7" s="327"/>
      <c r="DM7" s="327"/>
      <c r="DN7" s="327"/>
      <c r="DO7" s="33"/>
      <c r="DP7" s="33"/>
      <c r="DQ7" s="673"/>
      <c r="DR7" s="33"/>
      <c r="DS7" s="799" t="s">
        <v>17</v>
      </c>
      <c r="DT7" s="800"/>
      <c r="DU7" s="1491" t="s">
        <v>176</v>
      </c>
      <c r="DV7" s="1492"/>
      <c r="DW7" s="1493" t="s">
        <v>175</v>
      </c>
      <c r="DX7" s="1493"/>
      <c r="DY7" s="1493"/>
      <c r="DZ7" s="1494"/>
      <c r="EA7" s="1471" t="s">
        <v>19</v>
      </c>
      <c r="EB7" s="1472"/>
      <c r="EC7" s="1472"/>
      <c r="ED7" s="39"/>
      <c r="EE7" s="646"/>
      <c r="EF7" s="646"/>
      <c r="EG7" s="64"/>
      <c r="EH7" s="64"/>
      <c r="EI7" s="61"/>
      <c r="EJ7" s="61"/>
      <c r="EK7" s="61"/>
      <c r="EL7" s="61"/>
      <c r="EM7" s="61"/>
      <c r="EN7" s="33"/>
      <c r="EO7" s="33"/>
      <c r="EP7" s="61"/>
      <c r="EQ7" s="61"/>
      <c r="ER7" s="61"/>
      <c r="ES7" s="61"/>
      <c r="ET7" s="325"/>
      <c r="EU7" s="324"/>
      <c r="EV7" s="757"/>
      <c r="EW7" s="757"/>
      <c r="EX7" s="757"/>
      <c r="EY7" s="757"/>
      <c r="EZ7" s="757"/>
      <c r="FA7" s="757"/>
      <c r="FB7" s="757"/>
      <c r="FC7" s="673"/>
      <c r="FQ7" s="673"/>
      <c r="FR7" s="673"/>
      <c r="FS7" s="673"/>
      <c r="FT7" s="673"/>
      <c r="FU7" s="673"/>
      <c r="FW7" s="799"/>
      <c r="FX7" s="800"/>
      <c r="FY7" s="1003"/>
      <c r="FZ7" s="1004"/>
      <c r="GA7" s="1005"/>
      <c r="GB7" s="1005"/>
      <c r="GC7" s="1005"/>
      <c r="GD7" s="1006"/>
      <c r="GE7" s="1007"/>
      <c r="GF7" s="1008"/>
      <c r="GG7" s="1008"/>
      <c r="GH7" s="39"/>
      <c r="GI7" s="646"/>
      <c r="GJ7" s="646"/>
      <c r="GK7" s="64"/>
      <c r="GL7" s="64"/>
      <c r="GM7" s="64"/>
      <c r="GN7" s="64"/>
      <c r="GO7" s="64"/>
      <c r="GP7" s="64"/>
      <c r="GQ7" s="64"/>
      <c r="GR7" s="64"/>
      <c r="GS7" s="64"/>
      <c r="GT7" s="324"/>
      <c r="GU7" s="324"/>
      <c r="GV7" s="324"/>
      <c r="GW7" s="324"/>
      <c r="GX7" s="324"/>
      <c r="GY7" s="324"/>
      <c r="GZ7" s="324"/>
      <c r="HA7" s="324"/>
      <c r="HC7" s="799"/>
      <c r="HD7" s="800"/>
      <c r="HE7" s="1003"/>
      <c r="HF7" s="1004"/>
      <c r="HG7" s="1005"/>
      <c r="HH7" s="1005"/>
      <c r="HI7" s="1005"/>
      <c r="HJ7" s="1006"/>
      <c r="HK7" s="1007"/>
      <c r="HL7" s="1008"/>
      <c r="HM7" s="1008"/>
      <c r="HN7" s="39"/>
      <c r="HO7" s="646"/>
      <c r="HP7" s="646"/>
      <c r="HQ7" s="64"/>
      <c r="HR7" s="64"/>
    </row>
    <row r="8" spans="2:226" ht="15" customHeight="1">
      <c r="B8" s="676"/>
      <c r="C8" s="676"/>
      <c r="D8" s="810" t="s">
        <v>215</v>
      </c>
      <c r="E8" s="1537" t="s">
        <v>425</v>
      </c>
      <c r="F8" s="1547"/>
      <c r="G8" s="1548"/>
      <c r="H8" s="1549" t="s">
        <v>24</v>
      </c>
      <c r="I8" s="1550"/>
      <c r="J8" s="1549" t="s">
        <v>25</v>
      </c>
      <c r="K8" s="1549"/>
      <c r="L8" s="1542"/>
      <c r="O8" s="758"/>
      <c r="P8" s="39"/>
      <c r="Q8" s="1551"/>
      <c r="R8" s="1551"/>
      <c r="S8" s="40"/>
      <c r="T8" s="64"/>
      <c r="U8" s="64"/>
      <c r="V8" s="64"/>
      <c r="W8" s="64"/>
      <c r="Z8" s="33"/>
      <c r="AA8" s="33"/>
      <c r="AB8" s="33"/>
      <c r="AJ8" s="842">
        <f>LEFT($AJ$10,4)</f>
      </c>
      <c r="AK8" s="33"/>
      <c r="AL8" s="272"/>
      <c r="AM8" s="33"/>
      <c r="AN8" s="33"/>
      <c r="AO8" s="61"/>
      <c r="AP8" s="61"/>
      <c r="AQ8" s="61"/>
      <c r="AR8" s="417" t="s">
        <v>329</v>
      </c>
      <c r="AS8" s="417"/>
      <c r="AT8" s="417"/>
      <c r="AU8" s="417"/>
      <c r="AV8" s="417"/>
      <c r="AW8" s="417"/>
      <c r="AX8" s="417"/>
      <c r="AY8" s="417"/>
      <c r="AZ8" s="417"/>
      <c r="BA8" s="417"/>
      <c r="BB8" s="418"/>
      <c r="BC8" s="61"/>
      <c r="BD8" s="61"/>
      <c r="BE8" s="1439"/>
      <c r="BF8" s="248"/>
      <c r="BG8" s="254"/>
      <c r="BH8" s="1544"/>
      <c r="BI8" s="1439"/>
      <c r="BJ8" s="1544"/>
      <c r="BK8" s="1552"/>
      <c r="BL8" s="1558"/>
      <c r="BO8" s="61"/>
      <c r="BP8" s="61"/>
      <c r="BQ8" s="61" t="s">
        <v>242</v>
      </c>
      <c r="BR8" s="566"/>
      <c r="BS8" s="566"/>
      <c r="BT8" s="61"/>
      <c r="BU8" s="61"/>
      <c r="BV8" s="33"/>
      <c r="BW8" s="33"/>
      <c r="BX8" s="33"/>
      <c r="BY8" s="33"/>
      <c r="BZ8" s="33"/>
      <c r="CE8" s="33"/>
      <c r="CF8" s="33"/>
      <c r="CG8" s="33">
        <f>HLOOKUP(CF6,CA6:CD7,2,FALSE)</f>
      </c>
      <c r="CH8" s="33"/>
      <c r="CI8" s="33"/>
      <c r="CJ8" s="61"/>
      <c r="CK8" s="33"/>
      <c r="CL8" s="33"/>
      <c r="CM8" s="676"/>
      <c r="CN8" s="676"/>
      <c r="CO8" s="1473" t="s">
        <v>22</v>
      </c>
      <c r="CP8" s="1475" t="s">
        <v>21</v>
      </c>
      <c r="CQ8" s="1477" t="s">
        <v>23</v>
      </c>
      <c r="CR8" s="1478"/>
      <c r="CS8" s="1479" t="s">
        <v>24</v>
      </c>
      <c r="CT8" s="1479"/>
      <c r="CU8" s="1480" t="s">
        <v>25</v>
      </c>
      <c r="CV8" s="1481"/>
      <c r="CW8" s="294" t="s">
        <v>26</v>
      </c>
      <c r="CX8" s="1482" t="s">
        <v>66</v>
      </c>
      <c r="CY8" s="1482"/>
      <c r="CZ8" s="39"/>
      <c r="DA8" s="646"/>
      <c r="DB8" s="646"/>
      <c r="DC8" s="646"/>
      <c r="DD8" s="33"/>
      <c r="DE8" s="64"/>
      <c r="DF8" s="64"/>
      <c r="DG8" s="33"/>
      <c r="DH8" s="61"/>
      <c r="DI8" s="33"/>
      <c r="DJ8" s="33"/>
      <c r="DK8" s="33"/>
      <c r="DL8" s="33"/>
      <c r="DM8" s="33"/>
      <c r="DN8" s="33"/>
      <c r="DO8" s="33"/>
      <c r="DP8" s="33"/>
      <c r="DQ8" s="676"/>
      <c r="DR8" s="676"/>
      <c r="DS8" s="1473" t="s">
        <v>22</v>
      </c>
      <c r="DT8" s="1475" t="s">
        <v>21</v>
      </c>
      <c r="DU8" s="1477" t="s">
        <v>23</v>
      </c>
      <c r="DV8" s="1478"/>
      <c r="DW8" s="1479" t="s">
        <v>24</v>
      </c>
      <c r="DX8" s="1479"/>
      <c r="DY8" s="1480" t="s">
        <v>25</v>
      </c>
      <c r="DZ8" s="1481"/>
      <c r="EA8" s="294" t="s">
        <v>26</v>
      </c>
      <c r="EB8" s="1482" t="s">
        <v>66</v>
      </c>
      <c r="EC8" s="1482"/>
      <c r="ED8" s="39"/>
      <c r="EE8" s="646"/>
      <c r="EF8" s="646"/>
      <c r="EG8" s="64"/>
      <c r="EH8" s="64"/>
      <c r="EI8" s="33"/>
      <c r="EJ8" s="33"/>
      <c r="EK8" s="382" t="s">
        <v>456</v>
      </c>
      <c r="EL8" s="1031">
        <f>IF(OR(BC38=0,MIN(BC38:BC53)=BC38,BC38-MIN(BC38:BC53)&lt;EE41-8,EE41&lt;8),"",IF(ISNA(MATCH(BC38-(EE41-8),BC39:BC53,0))=FALSE,EE41-8,IF(ISNA(MATCH(BC38-(EE41-7),BC39:BC53,0))=FALSE,EE41-7,IF(ISNA(MATCH(BC38-(EE41-6),BC39:BC53,0))=FALSE,EE41-6,EE41-5))))</f>
      </c>
      <c r="EM8" s="1032">
        <f>IF(EL9="","",VLOOKUP($EL$9,$BC$38:$BD$53,2,FALSE))</f>
      </c>
      <c r="EN8" s="33"/>
      <c r="EO8" s="33"/>
      <c r="EP8" s="33"/>
      <c r="EQ8" s="33"/>
      <c r="ER8" s="33"/>
      <c r="ES8" s="61"/>
      <c r="ET8" s="325"/>
      <c r="EU8" s="676"/>
      <c r="EV8" s="676"/>
      <c r="EW8" s="676"/>
      <c r="EX8" s="676"/>
      <c r="EY8" s="676"/>
      <c r="EZ8" s="676"/>
      <c r="FA8" s="676" t="s">
        <v>445</v>
      </c>
      <c r="FB8" s="676"/>
      <c r="FC8" s="676"/>
      <c r="FQ8" s="676"/>
      <c r="FR8" s="676"/>
      <c r="FS8" s="676"/>
      <c r="FT8" s="676"/>
      <c r="FU8" s="676"/>
      <c r="FV8" s="676"/>
      <c r="FW8" s="1009"/>
      <c r="FX8" s="997"/>
      <c r="FY8" s="1000"/>
      <c r="FZ8" s="1001"/>
      <c r="GA8" s="999" t="s">
        <v>24</v>
      </c>
      <c r="GB8" s="999"/>
      <c r="GC8" s="994" t="s">
        <v>25</v>
      </c>
      <c r="GD8" s="995"/>
      <c r="GE8" s="294" t="s">
        <v>26</v>
      </c>
      <c r="GF8" s="1053" t="s">
        <v>66</v>
      </c>
      <c r="GG8" s="996"/>
      <c r="GH8" s="39"/>
      <c r="GI8" s="646"/>
      <c r="GJ8" s="646"/>
      <c r="GK8" s="64"/>
      <c r="GL8" s="64"/>
      <c r="GM8" s="64"/>
      <c r="GN8" s="64"/>
      <c r="GO8" s="64"/>
      <c r="GP8" s="64"/>
      <c r="GQ8" s="64"/>
      <c r="GR8" s="64"/>
      <c r="GS8" s="64"/>
      <c r="GT8" s="324"/>
      <c r="GU8" s="324"/>
      <c r="GV8" s="324"/>
      <c r="GW8" s="324"/>
      <c r="GX8" s="324"/>
      <c r="GY8" s="324"/>
      <c r="GZ8" s="324"/>
      <c r="HA8" s="324"/>
      <c r="HB8" s="676"/>
      <c r="HC8" s="1009"/>
      <c r="HD8" s="997"/>
      <c r="HE8" s="1000"/>
      <c r="HF8" s="1001"/>
      <c r="HG8" s="999" t="s">
        <v>24</v>
      </c>
      <c r="HH8" s="999"/>
      <c r="HI8" s="994" t="s">
        <v>25</v>
      </c>
      <c r="HJ8" s="995"/>
      <c r="HK8" s="294" t="s">
        <v>26</v>
      </c>
      <c r="HL8" s="1053" t="s">
        <v>66</v>
      </c>
      <c r="HM8" s="996"/>
      <c r="HN8" s="39"/>
      <c r="HO8" s="646"/>
      <c r="HP8" s="646"/>
      <c r="HQ8" s="64"/>
      <c r="HR8" s="64"/>
    </row>
    <row r="9" spans="1:226" ht="16.5" customHeight="1" thickBot="1">
      <c r="A9" s="847" t="s">
        <v>422</v>
      </c>
      <c r="B9" s="855"/>
      <c r="C9" s="854"/>
      <c r="D9" s="41"/>
      <c r="E9" s="1538"/>
      <c r="F9" s="349"/>
      <c r="G9" s="350"/>
      <c r="H9" s="352" t="s">
        <v>526</v>
      </c>
      <c r="I9" s="353" t="s">
        <v>527</v>
      </c>
      <c r="J9" s="354" t="s">
        <v>528</v>
      </c>
      <c r="K9" s="355" t="s">
        <v>529</v>
      </c>
      <c r="L9" s="1543"/>
      <c r="O9" s="758"/>
      <c r="P9" s="39"/>
      <c r="Q9" s="1551"/>
      <c r="R9" s="1551"/>
      <c r="S9" s="40"/>
      <c r="T9" s="64"/>
      <c r="U9" s="64"/>
      <c r="V9" s="64"/>
      <c r="W9" s="64"/>
      <c r="Z9" s="33"/>
      <c r="AA9" s="33"/>
      <c r="AB9" s="33"/>
      <c r="AJ9" s="842">
        <f>RIGHT(AJ10,4)</f>
      </c>
      <c r="AK9" s="33"/>
      <c r="AL9" s="272"/>
      <c r="AM9" s="33"/>
      <c r="AN9" s="33"/>
      <c r="AO9" s="505" t="s">
        <v>286</v>
      </c>
      <c r="AP9" s="505"/>
      <c r="AQ9" s="505"/>
      <c r="AR9" s="505"/>
      <c r="AS9" s="505"/>
      <c r="AT9" s="844" t="s">
        <v>288</v>
      </c>
      <c r="AU9" s="844"/>
      <c r="AV9" s="844"/>
      <c r="AW9" s="844"/>
      <c r="AX9" s="844"/>
      <c r="AY9" s="505" t="s">
        <v>290</v>
      </c>
      <c r="AZ9" s="505"/>
      <c r="BA9" s="505"/>
      <c r="BB9" s="505"/>
      <c r="BC9" s="505"/>
      <c r="BD9" s="61"/>
      <c r="BE9" s="842">
        <f>7-COUNTIF(BE11:BE13,"")-COUNTIF(BE25:BE28,"")</f>
        <v>0</v>
      </c>
      <c r="BF9" s="61"/>
      <c r="BG9" s="254"/>
      <c r="BH9" s="1544"/>
      <c r="BI9" s="1439"/>
      <c r="BJ9" s="1544"/>
      <c r="BK9" s="1552"/>
      <c r="BL9" s="1558"/>
      <c r="BM9" s="277" t="s">
        <v>170</v>
      </c>
      <c r="BN9" s="277" t="s">
        <v>171</v>
      </c>
      <c r="BO9" s="277" t="s">
        <v>172</v>
      </c>
      <c r="BP9" s="277" t="s">
        <v>173</v>
      </c>
      <c r="BQ9" s="275"/>
      <c r="BR9" s="502" t="s">
        <v>64</v>
      </c>
      <c r="BS9" s="502" t="s">
        <v>65</v>
      </c>
      <c r="BT9" s="277" t="s">
        <v>170</v>
      </c>
      <c r="BU9" s="277" t="s">
        <v>171</v>
      </c>
      <c r="BV9" s="277" t="s">
        <v>172</v>
      </c>
      <c r="BW9" s="277" t="s">
        <v>173</v>
      </c>
      <c r="BX9" s="277"/>
      <c r="BY9" s="78"/>
      <c r="BZ9" s="78"/>
      <c r="CA9" s="277" t="s">
        <v>170</v>
      </c>
      <c r="CB9" s="277" t="s">
        <v>171</v>
      </c>
      <c r="CC9" s="277" t="s">
        <v>172</v>
      </c>
      <c r="CD9" s="277" t="s">
        <v>173</v>
      </c>
      <c r="CE9" s="78"/>
      <c r="CF9" s="78"/>
      <c r="CG9" s="78"/>
      <c r="CH9" s="78"/>
      <c r="CI9" s="78"/>
      <c r="CJ9" s="78"/>
      <c r="CK9" s="78"/>
      <c r="CL9" s="78"/>
      <c r="CM9" s="653"/>
      <c r="CN9" s="674"/>
      <c r="CO9" s="1474"/>
      <c r="CP9" s="1476"/>
      <c r="CQ9" s="258" t="s">
        <v>28</v>
      </c>
      <c r="CR9" s="258" t="s">
        <v>29</v>
      </c>
      <c r="CS9" s="65" t="s">
        <v>30</v>
      </c>
      <c r="CT9" s="66" t="s">
        <v>31</v>
      </c>
      <c r="CU9" s="65" t="s">
        <v>32</v>
      </c>
      <c r="CV9" s="296" t="s">
        <v>33</v>
      </c>
      <c r="CW9" s="295" t="s">
        <v>34</v>
      </c>
      <c r="CX9" s="67" t="s">
        <v>64</v>
      </c>
      <c r="CY9" s="68" t="s">
        <v>65</v>
      </c>
      <c r="CZ9" s="39"/>
      <c r="DA9" s="646"/>
      <c r="DB9" s="646"/>
      <c r="DC9" s="646"/>
      <c r="DD9" s="33"/>
      <c r="DE9" s="64"/>
      <c r="DF9" s="64"/>
      <c r="DG9" s="78"/>
      <c r="DH9" s="78"/>
      <c r="DI9" s="78"/>
      <c r="DJ9" s="78"/>
      <c r="DK9" s="277" t="s">
        <v>170</v>
      </c>
      <c r="DL9" s="277" t="s">
        <v>171</v>
      </c>
      <c r="DM9" s="277" t="s">
        <v>172</v>
      </c>
      <c r="DN9" s="277" t="s">
        <v>173</v>
      </c>
      <c r="DO9" s="78"/>
      <c r="DP9" s="78"/>
      <c r="DQ9" s="653"/>
      <c r="DR9" s="674"/>
      <c r="DS9" s="1474"/>
      <c r="DT9" s="1476"/>
      <c r="DU9" s="258" t="s">
        <v>28</v>
      </c>
      <c r="DV9" s="258" t="s">
        <v>29</v>
      </c>
      <c r="DW9" s="65" t="s">
        <v>30</v>
      </c>
      <c r="DX9" s="66" t="s">
        <v>31</v>
      </c>
      <c r="DY9" s="65" t="s">
        <v>32</v>
      </c>
      <c r="DZ9" s="296" t="s">
        <v>33</v>
      </c>
      <c r="EA9" s="295" t="s">
        <v>34</v>
      </c>
      <c r="EB9" s="67" t="s">
        <v>64</v>
      </c>
      <c r="EC9" s="68" t="s">
        <v>65</v>
      </c>
      <c r="ED9" s="39"/>
      <c r="EE9" s="646"/>
      <c r="EF9" s="646"/>
      <c r="EG9" s="64"/>
      <c r="EH9" s="64"/>
      <c r="EI9" s="78"/>
      <c r="EJ9" s="78"/>
      <c r="EK9" s="78"/>
      <c r="EL9" s="1032">
        <f>IF(EL8="","",BC38-EL8)</f>
      </c>
      <c r="EM9" s="1032">
        <f>IF(EL9="","",LEFT(VLOOKUP($EL$9,$BC$38:$BD$53,2,FALSE),2))</f>
      </c>
      <c r="EN9" s="792"/>
      <c r="EO9" s="569"/>
      <c r="EP9" s="391"/>
      <c r="EQ9" s="391"/>
      <c r="ER9" s="391"/>
      <c r="ET9" s="391"/>
      <c r="EU9" s="674"/>
      <c r="EV9" s="676"/>
      <c r="EW9" s="676"/>
      <c r="EX9" s="677"/>
      <c r="EY9" s="677"/>
      <c r="EZ9" s="677"/>
      <c r="FA9" s="677" t="s">
        <v>394</v>
      </c>
      <c r="FB9" s="677" t="s">
        <v>395</v>
      </c>
      <c r="FC9" s="653"/>
      <c r="FL9" s="277" t="s">
        <v>170</v>
      </c>
      <c r="FM9" s="277" t="s">
        <v>171</v>
      </c>
      <c r="FN9" s="277" t="s">
        <v>172</v>
      </c>
      <c r="FO9" s="277" t="s">
        <v>173</v>
      </c>
      <c r="FP9" s="78"/>
      <c r="FQ9" s="653"/>
      <c r="FR9" s="653"/>
      <c r="FS9" s="653"/>
      <c r="FT9" s="653"/>
      <c r="FU9" s="653"/>
      <c r="FV9" s="674"/>
      <c r="FW9" s="1010"/>
      <c r="FX9" s="998"/>
      <c r="FY9" s="258"/>
      <c r="FZ9" s="258"/>
      <c r="GA9" s="65" t="s">
        <v>30</v>
      </c>
      <c r="GB9" s="66" t="s">
        <v>31</v>
      </c>
      <c r="GC9" s="65" t="s">
        <v>32</v>
      </c>
      <c r="GD9" s="296" t="s">
        <v>33</v>
      </c>
      <c r="GE9" s="295" t="s">
        <v>34</v>
      </c>
      <c r="GF9" s="67" t="s">
        <v>64</v>
      </c>
      <c r="GG9" s="68" t="s">
        <v>65</v>
      </c>
      <c r="GH9" s="39"/>
      <c r="GI9" s="646"/>
      <c r="GJ9" s="646"/>
      <c r="GK9" s="64"/>
      <c r="GL9" s="64"/>
      <c r="GM9" s="64"/>
      <c r="GN9" s="64"/>
      <c r="GO9" s="64"/>
      <c r="GP9" s="64"/>
      <c r="GQ9" s="64"/>
      <c r="GR9" s="64"/>
      <c r="GS9" s="64"/>
      <c r="GT9" s="393"/>
      <c r="GU9" s="393"/>
      <c r="GV9" s="324"/>
      <c r="GW9" s="255"/>
      <c r="GX9" s="255"/>
      <c r="GY9" s="255"/>
      <c r="GZ9" s="255"/>
      <c r="HA9" s="324"/>
      <c r="HB9" s="674"/>
      <c r="HC9" s="1010"/>
      <c r="HD9" s="998"/>
      <c r="HE9" s="258"/>
      <c r="HF9" s="258"/>
      <c r="HG9" s="65" t="s">
        <v>30</v>
      </c>
      <c r="HH9" s="66" t="s">
        <v>31</v>
      </c>
      <c r="HI9" s="65" t="s">
        <v>32</v>
      </c>
      <c r="HJ9" s="296" t="s">
        <v>33</v>
      </c>
      <c r="HK9" s="295" t="s">
        <v>34</v>
      </c>
      <c r="HL9" s="67" t="s">
        <v>64</v>
      </c>
      <c r="HM9" s="68" t="s">
        <v>65</v>
      </c>
      <c r="HN9" s="39"/>
      <c r="HO9" s="646"/>
      <c r="HP9" s="646"/>
      <c r="HQ9" s="64"/>
      <c r="HR9" s="64"/>
    </row>
    <row r="10" spans="1:226" ht="15" customHeight="1">
      <c r="A10" s="416" t="s">
        <v>423</v>
      </c>
      <c r="B10" s="416" t="s">
        <v>431</v>
      </c>
      <c r="C10" s="856" t="s">
        <v>424</v>
      </c>
      <c r="D10" s="337" t="s">
        <v>38</v>
      </c>
      <c r="E10" s="514">
        <f>IF(Zulassung!E9="","",Zulassung!E9)</f>
      </c>
      <c r="F10" s="515">
        <f>IF(Zulassung!F9="","",Zulassung!F9)</f>
        <v>3</v>
      </c>
      <c r="G10" s="516">
        <f>IF(Zulassung!G9="","",Zulassung!G9)</f>
        <v>3</v>
      </c>
      <c r="H10" s="824">
        <f>IF(Zulassung!H9="","",Zulassung!H9)</f>
      </c>
      <c r="I10" s="825">
        <f>IF(Zulassung!I9="","",Zulassung!I9)</f>
      </c>
      <c r="J10" s="825">
        <f>IF(Zulassung!J9="","",Zulassung!J9)</f>
      </c>
      <c r="K10" s="826">
        <f>IF(Zulassung!K9="","",Zulassung!K9)</f>
      </c>
      <c r="L10" s="370">
        <f aca="true" t="shared" si="0" ref="L10:L30">IF($D10&lt;&gt;"",COUNT($H10:$K10)-COUNTIF(H10:K10,"0"),"")</f>
        <v>0</v>
      </c>
      <c r="O10" s="681"/>
      <c r="P10" s="255"/>
      <c r="Q10" s="383"/>
      <c r="R10" s="383"/>
      <c r="S10" s="372"/>
      <c r="T10" s="842">
        <f>IF(AND(E10&lt;&gt;1,E10&lt;&gt;2,D10&lt;&gt;0),COUNTIF(H10:K10,"&lt;5"),0)</f>
        <v>0</v>
      </c>
      <c r="U10" s="842" t="str">
        <f>IF(OR(E10=1,E10=2),COUNTIF(H10:K10,"&lt;5"),"0")</f>
        <v>0</v>
      </c>
      <c r="V10" s="842">
        <f>IF(AND(AND(E10&lt;&gt;1,E10&lt;&gt;2),OR(AND(H10=0,H10&lt;&gt;""),AND(I10=0,I10&lt;&gt;""),AND(J10=0,J10&lt;&gt;""),AND(K10=0,K10&lt;&gt;""))),1,0)</f>
        <v>0</v>
      </c>
      <c r="W10" s="842">
        <f>IF(AND(OR(E10=1,E10=2),OR(AND(H10=0,H10&lt;&gt;""),AND(I10=0,I10&lt;&gt;""),AND(J10=0,J10&lt;&gt;""),AND(K10=0,K10&lt;&gt;""))),1,0)</f>
        <v>0</v>
      </c>
      <c r="Z10" s="842" t="s">
        <v>38</v>
      </c>
      <c r="AA10" s="842">
        <f>IF(OR(AND(H10="",MAX(I10:K10)&gt;0),AND(I10="",MAX(J10:K10)&gt;0),AND(J10="",K10&lt;&gt;"")),1,0)</f>
        <v>0</v>
      </c>
      <c r="AB10" s="842">
        <f>IF(OR(L10=0,L10=""),0,L10)</f>
        <v>0</v>
      </c>
      <c r="AC10" s="842">
        <v>4</v>
      </c>
      <c r="AD10" s="842" t="str">
        <f>IF(Z10="","",IF(AB10&gt;=AC10,"W","F"))</f>
        <v>F</v>
      </c>
      <c r="AE10" s="275"/>
      <c r="AF10" s="275"/>
      <c r="AG10" s="275"/>
      <c r="AH10" s="275"/>
      <c r="AI10" s="275"/>
      <c r="AJ10" s="842">
        <f>IF(AJ11="","",AJ7&amp;ROW(AJ11))&amp;IF(AJ12="","",AJ7&amp;ROW(AJ12))&amp;IF(AJ13="","",AJ7&amp;ROW(AJ13))</f>
      </c>
      <c r="AK10" s="321"/>
      <c r="AL10" s="275"/>
      <c r="AM10" s="322"/>
      <c r="AN10" s="322"/>
      <c r="AO10" s="843">
        <f>IF(AND(ISNA(MATCH($Z$11,$AJ$11:$AJ$13,0))=TRUE,OR(AND(COUNTIF($D$11:$D$13,"")=1,COUNTIF($D$25:$D$28,"")&lt;=2,COUNTIF($AB$25:$AB$28,"4")&gt;1,VLOOKUP($Z11,$D$11:$R$13,14,FALSE)="s"),AND(COUNTIF($D$11:$D$13,"")=0,COUNT(H11:K13)=12,VLOOKUP($Z11,$D$11:$R$13,14,FALSE)="s"),AND(COUNTIF($D$11:$D$13,"")=1,COUNTIF($AB$25:$AB$28,"4")=1),COUNTIF($D$11:$D$13,"")=0)),$Z$11,"")</f>
      </c>
      <c r="AP10" s="843">
        <f>IF(AND(ISNA(MATCH($Z$12,$AJ$11:$AJ$13,0))=TRUE,OR(AND(COUNTIF($D$11:$D$13,"")=1,COUNTIF($D$25:$D$28,"")&lt;=2,COUNTIF($AB$25:$AB$28,"4")&gt;1,VLOOKUP($Z12,$D$11:$R$13,14,FALSE)="s"),AND(COUNTIF($D$11:$D$13,"")=0,VLOOKUP($Z12,$D$11:$R$13,14,FALSE)="s"),AND(COUNTIF($D$11:$D$13,"")&lt;=1,COUNTIF($AB$25:$AB$28,"4")=1))),$Z$12,"")</f>
      </c>
      <c r="AQ10" s="843">
        <f>IF(AND(ISNA(MATCH($Z$13,$AJ$11:$AJ$13,0))=TRUE,OR(AND(COUNTIF($D$11:$D$13,"")=1,COUNTIF($D$25:$D$28,"")&lt;=2,COUNTIF($AB$25:$AB$28,"4")&gt;1,VLOOKUP($Z13,$D$11:$R$13,14,FALSE)="s"),AND(COUNTIF($D$11:$D$13,"")=0,VLOOKUP($Z13,$D$11:$R$13,14,FALSE)="s"),AND(COUNTIF($D$11:$D$13,"")&lt;=1,COUNTIF($AB$25:$AB$28,"4")=1))),$Z$13,"")</f>
      </c>
      <c r="AR10" s="586"/>
      <c r="AS10" s="416" t="str">
        <f>IF(OR(AJ26&lt;&gt;"",AJ27&lt;&gt;""),"",Z25)</f>
        <v>BI</v>
      </c>
      <c r="AT10" s="843">
        <f>IF(AND(ISNA(MATCH($Z$11,$AJ$11:$AJ$13,0))=TRUE,OR(AND(COUNTIF($D$11:$D$13,"")=1,COUNTIF($D$25:$D$28,"")&lt;=2,COUNTIF($AB$25:$AB$28,"4")&gt;1,VLOOKUP($Z11,$D$11:$R$13,14,FALSE)="s"),AND(COUNTIF($D$11:$D$13,"")=0,COUNT(M11:P13)=12,VLOOKUP($Z11,$D$11:$R$13,14,FALSE)="s"),AND(COUNTIF($D$11:$D$13,"")=1,COUNTIF($AB$25:$AB$28,"4")=1),COUNTIF($D$11:$D$13,"")=0)),$Z$11,"")</f>
      </c>
      <c r="AU10" s="843">
        <f>IF(AND(ISNA(MATCH($Z$12,$AJ$11:$AJ$13,0))=TRUE,OR(AND(COUNTA($D$11:$D$13)=2,COUNTA($D$25:$D$28)&gt;=2,VLOOKUP($Z12,$D$11:$R$13,14,FALSE)="s"),AND(COUNTA($D$11:$D$13)&gt;2,VLOOKUP($Z12,$D$11:$R$13,14,FALSE)="s"),AND(COUNTA($D$11:$D$13)=2,COUNTA($D$25:$D$28)=1))),$Z$12,"")</f>
      </c>
      <c r="AV10" s="843">
        <f>IF(AND(ISNA(MATCH($Z$13,$AJ$11:$AJ$13,0))=TRUE,OR(AND(COUNTA($D$11:$D$13)=2,COUNTA($D$25:$D$28)&gt;=2,VLOOKUP($Z13,$D$11:$R$13,14,FALSE)="s"),AND(COUNTA($D$11:$D$13)&gt;2,VLOOKUP($Z13,$D$11:$R$13,14,FALSE)="s"),AND(COUNTA($D$11:$D$13)=2,COUNTA($D$25:$D$28)=1))),$Z$13,"")</f>
      </c>
      <c r="AW10" s="586"/>
      <c r="AX10" s="416">
        <f>IF(OR(AJ25&lt;&gt;"",AJ27&lt;&gt;""),"",Z26)</f>
      </c>
      <c r="AY10" s="843">
        <f>IF(AND(ISNA(MATCH($Z$11,$AJ$11:$AJ$13,0))=TRUE,OR(AND(COUNTA($D$11:$D$13)=2,COUNTA($D$25:$D$28)&gt;=2,VLOOKUP($Z11,$D$11:$R$13,14,FALSE)="s"),AND(COUNTA($D$11:$D$13)&gt;2,VLOOKUP($Z11,$D$11:$R$13,14,FALSE)="s"),AND(COUNTA($D$11:$D$13)=2,COUNTA($D$25:$D$28)=1))),$Z$11,"")</f>
      </c>
      <c r="AZ10" s="843">
        <f>IF(AND(ISNA(MATCH($Z$12,$AJ$11:$AJ$13,0))=TRUE,OR(AND(COUNTA($D$11:$D$13)=2,COUNTA($D$25:$D$28)&gt;=2,VLOOKUP($Z12,$D$11:$R$13,14,FALSE)="s"),AND(COUNTA($D$11:$D$13)&gt;2,VLOOKUP($Z12,$D$11:$R$13,14,FALSE)="s"),AND(COUNTA($D$11:$D$13)=2,COUNTA($D$25:$D$28)=1))),$Z$12,"")</f>
      </c>
      <c r="BA10" s="843">
        <f>IF(AND(ISNA(MATCH($Z$13,$AJ$11:$AJ$13,0))=TRUE,OR(AND(COUNTA($D$11:$D$13)=2,COUNTA($D$25:$D$28)&gt;=2,VLOOKUP($Z13,$D$11:$R$13,14,FALSE)="s"),AND(COUNTA($D$11:$D$13)&gt;2,VLOOKUP($Z13,$D$11:$R$13,14,FALSE)="s"),AND(COUNTA($D$11:$D$13)=2,COUNTA($D$25:$D$28)=1))),$Z$13,"")</f>
      </c>
      <c r="BB10" s="586"/>
      <c r="BC10" s="416">
        <f>IF(OR(AJ25&lt;&gt;"",AJ26&lt;&gt;""),"",Z27)</f>
      </c>
      <c r="BD10" s="277"/>
      <c r="BE10" s="277"/>
      <c r="BF10" s="277"/>
      <c r="BG10" s="277" t="s">
        <v>474</v>
      </c>
      <c r="BH10" s="277"/>
      <c r="BI10" s="277"/>
      <c r="BJ10" s="277"/>
      <c r="BK10" s="275"/>
      <c r="BL10" s="275"/>
      <c r="BM10" s="274">
        <f>H10</f>
      </c>
      <c r="BN10" s="274">
        <f>I10</f>
      </c>
      <c r="BO10" s="274">
        <f>J10</f>
      </c>
      <c r="BP10" s="274">
        <f>K10</f>
      </c>
      <c r="BQ10" s="313">
        <f>IF(OR(E10=1,E10=2),SUM(H10:K10),0)</f>
        <v>0</v>
      </c>
      <c r="BR10" s="567">
        <f>IF(AND(E10&lt;&gt;1,E10&lt;&gt;2,Z10&lt;&gt;0),COUNTIF(BM10:BP10,"&lt;5"),0)</f>
        <v>0</v>
      </c>
      <c r="BS10" s="567">
        <f>IF(OR(E10=1,E19=2),COUNTIF(BM10:BP10,"&lt;5"),0)</f>
        <v>0</v>
      </c>
      <c r="BT10" s="323"/>
      <c r="BU10" s="323"/>
      <c r="BV10" s="321"/>
      <c r="BW10" s="321"/>
      <c r="BX10" s="321"/>
      <c r="BY10" s="324"/>
      <c r="BZ10" s="324"/>
      <c r="CA10" s="274"/>
      <c r="CB10" s="274"/>
      <c r="CC10" s="274"/>
      <c r="CD10" s="274"/>
      <c r="CE10" s="324"/>
      <c r="CF10" s="324"/>
      <c r="CG10" s="324"/>
      <c r="CH10" s="324"/>
      <c r="CI10" s="324"/>
      <c r="CJ10" s="255"/>
      <c r="CK10" s="324"/>
      <c r="CL10" s="324"/>
      <c r="CM10" s="684"/>
      <c r="CN10" s="672"/>
      <c r="CO10" s="259" t="str">
        <f>IF(Z10="","",Z10)</f>
        <v>D</v>
      </c>
      <c r="CP10" s="260">
        <f>IF(E10="","",E10)</f>
      </c>
      <c r="CQ10" s="259"/>
      <c r="CR10" s="260"/>
      <c r="CS10" s="345">
        <f>IF(BM10="","",BM10)</f>
      </c>
      <c r="CT10" s="345">
        <f>IF(BN10="","",BN10)</f>
      </c>
      <c r="CU10" s="345">
        <f>IF(BO10="","",BO10)</f>
      </c>
      <c r="CV10" s="345">
        <f>IF(BP10="","",BP10)</f>
      </c>
      <c r="CW10" s="50">
        <f>IF(CO10="","",COUNTA(CS10:CV10))</f>
        <v>4</v>
      </c>
      <c r="CX10" s="69">
        <f>IF(OR(CP10=1,CP10=2,CO10=""),"",SUM(CS10:CV10))</f>
        <v>0</v>
      </c>
      <c r="CY10" s="70">
        <f>IF(OR(CP10=1,CP10=2),2*SUM(CS10:CV10),"")</f>
      </c>
      <c r="CZ10" s="39"/>
      <c r="DA10" s="946"/>
      <c r="DB10" s="946"/>
      <c r="DC10" s="946"/>
      <c r="DD10" s="33"/>
      <c r="DE10" s="71">
        <f>IF(AND(CP10&lt;&gt;1,CP10&lt;&gt;2,CO10&lt;&gt;0),COUNTIF(CS10:CV10,"&lt;5"),"0")</f>
        <v>0</v>
      </c>
      <c r="DF10" s="71" t="str">
        <f>IF(OR(CP10=1,CP10=2),COUNTIF(CS10:CV10,"&lt;5"),"0")</f>
        <v>0</v>
      </c>
      <c r="DG10" s="642">
        <f>IF(CN5=1,IF(AND(OR(CW38=35,CW38=36,CW38=37),SUM(DE10:DF34)&gt;=8),1,""),IF(AND(OR(CW89=35,CW89=36,CW89=37),SUM(DE61:DF85)&gt;=8),1,""))</f>
      </c>
      <c r="DH10" s="642">
        <f>IF($CN$5=1,IF(ISNA(MATCH(DG10,$BU$38:$BU$49,0))=TRUE,"",VLOOKUP(DG10,$BU$38:$BY$49,4,FALSE)),IF(ISNA(MATCH(DG10,$BU$89:$BU$100,0))=TRUE,"",VLOOKUP(DG10,$BU$89:$BY$100,4,FALSE)))</f>
      </c>
      <c r="DI10" s="642">
        <f>IF(CN5=1,IF(ISNA(MATCH(DG10,$BU$38:$BU$49,0))=TRUE,"",VLOOKUP(DG10,$BU$38:$BY$49,5,FALSE)),IF(ISNA(MATCH(DG10,$BU$89:$BU$100,0))=TRUE,"",VLOOKUP(DG10,$BU$89:$BY$100,5,FALSE)))</f>
      </c>
      <c r="DJ10" s="324"/>
      <c r="DK10" s="643"/>
      <c r="DL10" s="643"/>
      <c r="DM10" s="643"/>
      <c r="DN10" s="643"/>
      <c r="DO10" s="324"/>
      <c r="DP10" s="324"/>
      <c r="DQ10" s="684"/>
      <c r="DR10" s="672"/>
      <c r="DS10" s="259" t="str">
        <f>CO10</f>
        <v>D</v>
      </c>
      <c r="DT10" s="260">
        <f>CP10</f>
      </c>
      <c r="DU10" s="259"/>
      <c r="DV10" s="260"/>
      <c r="DW10" s="345">
        <f>CS10</f>
      </c>
      <c r="DX10" s="345">
        <f>CT10</f>
      </c>
      <c r="DY10" s="345">
        <f>CU10</f>
      </c>
      <c r="DZ10" s="345">
        <f>CV10</f>
      </c>
      <c r="EA10" s="50">
        <f>IF(DS10="","",COUNTA(DW10:DZ10))</f>
        <v>4</v>
      </c>
      <c r="EB10" s="69">
        <f>IF(OR(DT10=1,DT10=2,DS10=""),"",SUM(DW10:DZ10))</f>
        <v>0</v>
      </c>
      <c r="EC10" s="70">
        <f>IF(OR(DT10=1,DT10=2),2*SUM(DW10:DZ10),"")</f>
      </c>
      <c r="ED10" s="39"/>
      <c r="EE10" s="946"/>
      <c r="EF10" s="946"/>
      <c r="EG10" s="71">
        <f>IF(AND(DT10&lt;&gt;1,DT10&lt;&gt;2,DS10&lt;&gt;0),COUNTIF(DW10:DZ10,"&lt;5"),"0")</f>
        <v>0</v>
      </c>
      <c r="EH10" s="71" t="str">
        <f>IF(OR(DT10=1,DT10=2),COUNTIF(DW10:DZ10,"&lt;5"),"0")</f>
        <v>0</v>
      </c>
      <c r="EI10" s="324"/>
      <c r="EJ10" s="324"/>
      <c r="EK10" s="324"/>
      <c r="EL10" s="1032"/>
      <c r="EM10" s="1032">
        <f>IF(OR(EL9="",EL8=0),"",VALUE(RIGHT(VLOOKUP($EL$9,$BC$38:$BD$53,2,FALSE),2)))</f>
      </c>
      <c r="EN10" s="568" t="s">
        <v>38</v>
      </c>
      <c r="EO10" s="581">
        <f>BM10</f>
      </c>
      <c r="EP10" s="582">
        <f>BN10</f>
      </c>
      <c r="EQ10" s="582">
        <f>BO10</f>
      </c>
      <c r="ER10" s="583">
        <f>BP10</f>
      </c>
      <c r="ES10" s="391">
        <f>IF(OR(E10=1,E10=2),SUM(H10:K10),0)</f>
        <v>0</v>
      </c>
      <c r="ET10" s="391"/>
      <c r="EU10" s="672"/>
      <c r="EV10" s="672"/>
      <c r="EW10" s="685"/>
      <c r="EX10" s="685"/>
      <c r="EY10" s="685"/>
      <c r="EZ10" s="579"/>
      <c r="FA10" s="962">
        <f aca="true" t="shared" si="1" ref="FA10:FA30">COUNTIF(EO10:ER10,"&lt;5")</f>
        <v>0</v>
      </c>
      <c r="FB10" s="962">
        <f>COUNTIF(EU10:EX10,"&lt;5")</f>
        <v>0</v>
      </c>
      <c r="FC10" s="684"/>
      <c r="FE10" s="334" t="s">
        <v>439</v>
      </c>
      <c r="FF10" s="33" t="s">
        <v>438</v>
      </c>
      <c r="FG10" s="33" t="s">
        <v>457</v>
      </c>
      <c r="FH10" s="33" t="s">
        <v>458</v>
      </c>
      <c r="FI10" s="33" t="s">
        <v>459</v>
      </c>
      <c r="FJ10" s="33" t="s">
        <v>460</v>
      </c>
      <c r="FK10" s="61" t="s">
        <v>450</v>
      </c>
      <c r="FL10" s="274"/>
      <c r="FM10" s="274"/>
      <c r="FN10" s="274"/>
      <c r="FO10" s="274"/>
      <c r="FP10" s="255"/>
      <c r="FQ10" s="684"/>
      <c r="FR10" s="684"/>
      <c r="FS10" s="684"/>
      <c r="FT10" s="684"/>
      <c r="FU10" s="684"/>
      <c r="FV10" s="672"/>
      <c r="FW10" s="259" t="str">
        <f>IF($D10="","",$D10)</f>
        <v>D</v>
      </c>
      <c r="FX10" s="260">
        <f>IF($E10="","",$E10)</f>
      </c>
      <c r="FY10" s="259"/>
      <c r="FZ10" s="260"/>
      <c r="GA10" s="345">
        <f>$H$10</f>
      </c>
      <c r="GB10" s="345">
        <f>$I$10</f>
      </c>
      <c r="GC10" s="345">
        <f>$J$10</f>
      </c>
      <c r="GD10" s="345">
        <f>$K$10</f>
      </c>
      <c r="GE10" s="50">
        <f>IF(FW10="","",COUNTA(GA10:GD10))</f>
        <v>4</v>
      </c>
      <c r="GF10" s="69">
        <f>IF(OR(FX10=1,FX10=2,FW10=""),"",SUM(GA10:GD10))</f>
        <v>0</v>
      </c>
      <c r="GG10" s="70">
        <f>IF(OR(FX10=1,FX10=2),2*SUM(GA10:GD10),"")</f>
      </c>
      <c r="GH10" s="39"/>
      <c r="GI10" s="946"/>
      <c r="GJ10" s="946"/>
      <c r="GK10" s="71">
        <f>IF(AND(FX10&lt;&gt;1,FX10&lt;&gt;2,FW10&lt;&gt;0),COUNTIF(GA10:GD10,"&lt;5"),"0")</f>
        <v>0</v>
      </c>
      <c r="GL10" s="71" t="str">
        <f>IF(OR(FX10=1,FX10=2),COUNTIF(GA10:GD10,"&lt;5"),"0")</f>
        <v>0</v>
      </c>
      <c r="GM10" s="71"/>
      <c r="GN10" s="71"/>
      <c r="GO10" s="71" t="s">
        <v>439</v>
      </c>
      <c r="GP10" s="71" t="s">
        <v>466</v>
      </c>
      <c r="GQ10" s="71" t="s">
        <v>467</v>
      </c>
      <c r="GR10" s="71" t="s">
        <v>468</v>
      </c>
      <c r="GS10" s="71" t="s">
        <v>469</v>
      </c>
      <c r="GT10" s="64" t="s">
        <v>470</v>
      </c>
      <c r="GU10" s="64" t="s">
        <v>450</v>
      </c>
      <c r="GV10" s="324"/>
      <c r="GW10" s="593"/>
      <c r="GX10" s="593"/>
      <c r="GY10" s="593"/>
      <c r="GZ10" s="593"/>
      <c r="HA10" s="324"/>
      <c r="HB10" s="672"/>
      <c r="HC10" s="259" t="str">
        <f>IF($D10="","",$D10)</f>
        <v>D</v>
      </c>
      <c r="HD10" s="260">
        <f>IF($E10="","",$E10)</f>
      </c>
      <c r="HE10" s="259"/>
      <c r="HF10" s="260"/>
      <c r="HG10" s="345">
        <f>$H$10</f>
      </c>
      <c r="HH10" s="345">
        <f>$I$10</f>
      </c>
      <c r="HI10" s="345">
        <f>$J$10</f>
      </c>
      <c r="HJ10" s="345">
        <f>$K$10</f>
      </c>
      <c r="HK10" s="50">
        <f>IF(HC10="","",COUNTA(HG10:HJ10))</f>
        <v>4</v>
      </c>
      <c r="HL10" s="69">
        <f>IF(OR(HD10=1,HD10=2,HC10=""),"",SUM(HG10:HJ10))</f>
        <v>0</v>
      </c>
      <c r="HM10" s="70">
        <f>IF(OR(HD10=1,HD10=2),2*SUM(HG10:HJ10),"")</f>
      </c>
      <c r="HN10" s="39"/>
      <c r="HO10" s="946"/>
      <c r="HP10" s="946"/>
      <c r="HQ10" s="71">
        <f>IF(AND(HD10&lt;&gt;1,HD10&lt;&gt;2,HC10&lt;&gt;0),COUNTIF(HG10:HJ10,"&lt;5"),"0")</f>
        <v>0</v>
      </c>
      <c r="HR10" s="71" t="str">
        <f>IF(OR(HD10=1,HD10=2),COUNTIF(HG10:HJ10,"&lt;5"),"0")</f>
        <v>0</v>
      </c>
    </row>
    <row r="11" spans="1:226" ht="15" customHeight="1">
      <c r="A11" s="418">
        <f>IF(BD11="","",11)</f>
      </c>
      <c r="B11" s="418">
        <f>IF(OR(COUNTA($BE$11:$BE$13)=0,$BE$11&amp;$BE$12&amp;$BE$13&lt;&gt;$D11),"",11)</f>
      </c>
      <c r="C11" s="854">
        <f>IF(AND(A11="",B11="",D11&lt;&gt;"",COUNT(H11:K11)=4),11,"")</f>
      </c>
      <c r="D11" s="337" t="str">
        <f>IF(Zulassung!D10="","",Zulassung!D10)</f>
        <v>E</v>
      </c>
      <c r="E11" s="514">
        <f>IF(Zulassung!E10="","",Zulassung!E10)</f>
      </c>
      <c r="F11" s="515">
        <f>IF(Zulassung!F10="","",Zulassung!F10)</f>
        <v>3</v>
      </c>
      <c r="G11" s="516">
        <f>IF(Zulassung!G10="","",Zulassung!G10)</f>
        <v>3</v>
      </c>
      <c r="H11" s="550">
        <f>IF(Zulassung!H10="","",Zulassung!H10)</f>
      </c>
      <c r="I11" s="551">
        <f>IF(Zulassung!I10="","",Zulassung!I10)</f>
      </c>
      <c r="J11" s="551">
        <f>IF(Zulassung!J10="","",Zulassung!J10)</f>
      </c>
      <c r="K11" s="552">
        <f>IF(Zulassung!K10="","",Zulassung!K10)</f>
      </c>
      <c r="L11" s="370">
        <f t="shared" si="0"/>
        <v>0</v>
      </c>
      <c r="O11" s="681"/>
      <c r="P11" s="255"/>
      <c r="Q11" s="1367">
        <f>IF(Zulassung!O10="","",Zulassung!O10)</f>
      </c>
      <c r="R11" s="1367"/>
      <c r="S11" s="372"/>
      <c r="T11" s="842">
        <f>IF(AND(E11&lt;&gt;1,E11&lt;&gt;2,D11&lt;&gt;0),COUNTIF(H11:K11,"&lt;5"),0)</f>
        <v>0</v>
      </c>
      <c r="U11" s="842" t="str">
        <f aca="true" t="shared" si="2" ref="U11:U31">IF(OR(E11=1,E11=2),COUNTIF(H11:K11,"&lt;5"),"0")</f>
        <v>0</v>
      </c>
      <c r="V11" s="842">
        <f aca="true" t="shared" si="3" ref="V11:V34">IF(AND(AND(E11&lt;&gt;1,E11&lt;&gt;2),OR(AND(H11=0,H11&lt;&gt;""),AND(I11=0,I11&lt;&gt;""),AND(J11=0,J11&lt;&gt;""),AND(K11=0,K11&lt;&gt;""))),1,0)</f>
        <v>0</v>
      </c>
      <c r="W11" s="842">
        <f aca="true" t="shared" si="4" ref="W11:W31">IF(AND(OR(E11=1,E11=2),OR(AND(H11=0,H11&lt;&gt;""),AND(I11=0,I11&lt;&gt;""),AND(J11=0,J11&lt;&gt;""),AND(K11=0,K11&lt;&gt;""))),1,0)</f>
        <v>0</v>
      </c>
      <c r="Z11" s="842" t="str">
        <f>IF(D11="","",D11)</f>
        <v>E</v>
      </c>
      <c r="AA11" s="842">
        <f>IF(OR(AND(G11="",MAX(H11:K11)&gt;0),AND(H11="",MAX(I11:K11)&gt;0),AND(I11="",MAX(J11:K11)&gt;0),AND(J11="",K11&lt;&gt;"")),1,0)</f>
        <v>0</v>
      </c>
      <c r="AB11" s="842">
        <f>IF(OR(Zulassung!L10=0,Zulassung!L10=""),0,Zulassung!L10)</f>
        <v>0</v>
      </c>
      <c r="AC11" s="842">
        <v>4</v>
      </c>
      <c r="AD11" s="842" t="str">
        <f>IF(Z11="","",IF(OR($AB$11=4,$AB$12=4,$AB$13=4),"W","F"))</f>
        <v>F</v>
      </c>
      <c r="AE11" s="842">
        <f>SUM(H11:K11)</f>
        <v>0</v>
      </c>
      <c r="AF11" s="842">
        <f>SUM(H11:I11)</f>
        <v>0</v>
      </c>
      <c r="AG11" s="842">
        <f>IF(AJ11&lt;&gt;"","",SUM(J11:K11))</f>
        <v>0</v>
      </c>
      <c r="AH11" s="842">
        <f>IF(COUNT(H11:K11)=0,"",MIN(H11:K11))</f>
      </c>
      <c r="AI11" s="842">
        <f>IF(AH11="","",COUNTIF(H11:K11,AH11))</f>
      </c>
      <c r="AJ11" s="289">
        <f>IF(E11="","",Z11)</f>
      </c>
      <c r="AK11" s="842"/>
      <c r="AL11" s="255"/>
      <c r="AM11" s="842" t="str">
        <f>IF(OR(AND($BF$36&lt;&gt;"",ISNA(MATCH($BF$36,$Z$11:$Z$13,0))=FALSE,$BF$36=Z11),AJ12&lt;&gt;"",AJ13&lt;&gt;""),"",IF(AND($AE11=MAX($AE$11:$AE$13),COUNTIF($AE$11:$AE$13,MAX($AE$11:$AE$13))=1),Z11,IF(AND($AE11=MAX($AE$11:$AE$13),COUNTIF($AE$11:$AE$13,MAX($AE$11:$AE$13))&gt;1,$AG11=MAX($AG$11:$AG$13)),Z11,IF(AND(BD11&lt;&gt;"",BF11=$BF$36),Z11,""))))</f>
        <v>E</v>
      </c>
      <c r="AN11" s="917">
        <f>IF(MAX(AO11:BC11)=MAX($AO$11:$BC$13),ROW(AO11),"")</f>
        <v>11</v>
      </c>
      <c r="AO11" s="965">
        <v>0</v>
      </c>
      <c r="AP11" s="505">
        <f>IF(OR($AB$11&lt;&gt;4,$AB$12&lt;&gt;4,$AB25&lt;&gt;4,$AP$10="",AJ12&lt;&gt;"",AJ13&lt;&gt;"",AS10=""),"",SUM($AE$11,J12:K12)+$AE25+MAX(H13:K13))</f>
      </c>
      <c r="AQ11" s="505">
        <f>IF(OR($AB$11&lt;&gt;4,$AB$13&lt;&gt;4,$AB$25&lt;&gt;4,$AQ$10="",AJ12&lt;&gt;"",AJ13&lt;&gt;"",AS10=""),"",SUM($AE$11,J13:K13)+$AE$25+MAX(H12:K12))</f>
      </c>
      <c r="AR11" s="326"/>
      <c r="AS11" s="975"/>
      <c r="AT11" s="842">
        <v>0</v>
      </c>
      <c r="AU11" s="842">
        <f>IF(OR($AB$11&lt;&gt;4,$AB$12&lt;&gt;4,$AB26&lt;&gt;4,$AP$10="",AX10=""),"",SUM($AE$11,J12:K12)+$AE26+MAX(H13:K13))</f>
      </c>
      <c r="AV11" s="842">
        <f>IF(OR($AB$11&lt;&gt;4,$AB$13&lt;&gt;4,$AB$26&lt;&gt;4,$AQ$10="",AJ12&lt;&gt;"",AJ13&lt;&gt;"",AX10=""),"",SUM($AE$11,J13:K13)+$AE$26+MAX(H12:K12))</f>
      </c>
      <c r="AW11" s="326"/>
      <c r="AX11" s="975"/>
      <c r="AY11" s="505">
        <v>0</v>
      </c>
      <c r="AZ11" s="505">
        <f>IF(OR($AB$11&lt;&gt;4,$AB$12&lt;&gt;4,$AB27&lt;&gt;4,$AP$10="",AJ12&lt;&gt;"",AJ13&lt;&gt;"",BC10=""),"",SUM($AE$11,J12:K12)+$AE27+MAX(H13:K13))</f>
      </c>
      <c r="BA11" s="505">
        <f>IF(OR($AB$11&lt;&gt;4,$AB$13&lt;&gt;4,$AB$27&lt;&gt;4,$AQ$10="",AJ12&lt;&gt;"",AJ13&lt;&gt;"",BC10=""),"",SUM($AE$11,J13:K13)+$AE$27+MAX(H12:K12))</f>
      </c>
      <c r="BB11" s="326"/>
      <c r="BC11" s="975"/>
      <c r="BD11" s="842">
        <f ca="1">IF(AB11&lt;&gt;4,"",IF(OR(E11&lt;&gt;"",COUNTIF($D$11:$D$13,"")=2),Z11,IF(AND(MAX(AO11:BC11)=MAX($AO$11:$BC$13),COUNTIF($AO$11:$BC$13,MAX($AO$11:$BC$13))=1),Z11,IF(OR(AND(MAX(AO11:BC11)=MAX($AO$11:$BC$13),COUNTIF($AO$11:$BC$13,MAX($AO$11:$BC$13))&gt;1,MIN(H11:I11)&gt;=MIN(INDIRECT("H"&amp;AN12&amp;AN13&amp;":I"&amp;AN12&amp;AN13))),AND(MAX(AO11:BC11)=MAX($AO$11:$BC$13),COUNTIF($AO$11:$BC$13,MAX($AO$11:$BC$13))&gt;1,MIN(H11:I11)=MIN(INDIRECT("H"&amp;AN12&amp;AN13&amp;":I"&amp;AN12&amp;AN13))),COUNTIF($AI$11:$AI$13,MIN($AI$11:$AI$13)&gt;=1)),Z11,""))))</f>
      </c>
      <c r="BE11" s="842">
        <f ca="1">IF(OR(BD11="",MAX(AO11:BA11)=0,COUNTIF($AJ$11:$AJ$13,"")=1),"",OFFSET($AO$10,0,MATCH(MAX(AO11:BC11),AO11:BC11,0)-1))</f>
      </c>
      <c r="BF11" s="842">
        <f ca="1">IF(BE11="","",IF(OR(MAX(AO11:BA11)&lt;MAX($AO$25:$BC$28),AND(MAX(AO11:BA11)=MAX($AO$25:$BC$28),INDIRECT("AH"&amp;MATCH($BE$15,$Z$11:$Z$13,0)+10)&lt;INDIRECT("AH"&amp;MATCH($BE$29,$Z$25:$Z$28,0)+23)),AND(MAX(AO11:BA11)=MAX($AO$25:$BC$28),INDIRECT("AH"&amp;MATCH($BE$15,Z11:Z13,0)+10)=INDIRECT("AH"&amp;MATCH($BE$29,Z25:Z28,0)+23),INDIRECT("AI"&amp;MATCH($BE$15,Z11:Z13,0)+10)&gt;=INDIRECT("AI"&amp;MATCH($BE$29,Z25:Z28,0)+23)),AND(COUNTA($D$11:$D$13)=3,COUNTIF($Q$11:$R$13,"s")=1)),"",BE11))</f>
      </c>
      <c r="BG11" s="248">
        <f>IF(BE11="","",MAX(AO11:BC11))</f>
      </c>
      <c r="BH11" s="61"/>
      <c r="BI11" s="61"/>
      <c r="BJ11" s="61"/>
      <c r="BK11" s="410" t="s">
        <v>326</v>
      </c>
      <c r="BL11" s="410" t="s">
        <v>325</v>
      </c>
      <c r="BM11" s="842">
        <f>IF(H11="","",IF(OR($E11&lt;&gt;"",$BD11&lt;&gt;""),H11,IF(AND(COUNTIF($E$11:$E$13,"")=1,$BD11&lt;&gt;""),H11,IF(OR(AND(COUNTIF($E$11:$E$13,"")=1,ISNA(MATCH($BF$36,$BF$25:$BF$28,0))=FALSE),AND($E$28&lt;&gt;"",BD11="")),"",IF(AND(ISNA(MATCH($BF$36,$BF$25:$BF$28,0))=FALSE,$BD11&lt;&gt;""),H11,"")))))</f>
      </c>
      <c r="BN11" s="842">
        <f>IF(I11="","",IF(OR($E11&lt;&gt;"",$BD11&lt;&gt;""),I11,IF(AND(COUNTIF($E$11:$E$13,"")=1,$BD11&lt;&gt;""),I11,IF(OR(AND(COUNTIF($E$11:$E$13,"")=1,ISNA(MATCH($BF$36,$BF$25:$BF$28,0))=FALSE),AND($E$28&lt;&gt;"",$BD11="")),"",IF(AND(ISNA(MATCH($BF$36,$BF$25:$BF$28,0))=FALSE,$BD11&lt;&gt;""),I11,"")))))</f>
      </c>
      <c r="BO11" s="842">
        <f>IF(J11="","",IF(OR($BD11&lt;&gt;"",$E11&lt;&gt;"",$BF$36=$Z11),J11,IF(AND(COUNTIF($E$11:$E$13,"")=1,$BD11&lt;&gt;""),J11,IF(OR(AND(COUNTIF($E$11:$E$13,"")=1,ISNA(MATCH($BF$36,$BF$25:$BF$28,0))=FALSE),AND($E$28&lt;&gt;"",$BD11="")),"",IF(AND(ISNA(MATCH($BF$36,$BF$25:$BF$28,0))=FALSE,$BD11&lt;&gt;""),J11,IF($BF$36=$Z11,J11,""))))))</f>
      </c>
      <c r="BP11" s="842">
        <f>IF(K11="","",IF(OR($BD11&lt;&gt;"",$E11&lt;&gt;"",$BF$36=$Z11),K11,IF(AND(COUNTIF($E$11:$E$13,"")=1,$BD11&lt;&gt;""),K11,IF(OR(AND(COUNTIF($E$11:$E$13,"")=1,ISNA(MATCH($BF$36,$BF$25:$BF$28,0))=FALSE),AND($E$28&lt;&gt;"",$BD11="")),"",IF(AND(ISNA(MATCH($BF$36,$BF$25:$BF$28,0))=FALSE,$BD11&lt;&gt;""),K11,IF($BF$36=$Z11,K11,""))))))</f>
      </c>
      <c r="BQ11" s="247">
        <f>IF(OR(E11=1,E11=2),SUM(H11:K11),0)</f>
        <v>0</v>
      </c>
      <c r="BR11" s="567">
        <f aca="true" t="shared" si="5" ref="BR11:BR30">IF(AND(E11&lt;&gt;1,E11&lt;&gt;2,Z11&lt;&gt;0),COUNTIF(BM11:BP11,"&lt;5"),0)</f>
        <v>0</v>
      </c>
      <c r="BS11" s="567">
        <f aca="true" t="shared" si="6" ref="BS11:BS30">IF(OR(E11=1,E20=2),COUNTIF(BM11:BP11,"&lt;5"),0)</f>
        <v>0</v>
      </c>
      <c r="BT11" s="842">
        <f aca="true" t="shared" si="7" ref="BT11:BW13">IF(OR(BM11&lt;&gt;"",H11="",$AA11&lt;&gt;0),"",H11)</f>
      </c>
      <c r="BU11" s="842">
        <f t="shared" si="7"/>
      </c>
      <c r="BV11" s="842">
        <f t="shared" si="7"/>
      </c>
      <c r="BW11" s="842">
        <f t="shared" si="7"/>
      </c>
      <c r="BX11" s="327"/>
      <c r="BY11" s="1072">
        <f aca="true" t="shared" si="8" ref="BY11:BY21">IF(ISERROR(MATCH($BX$33,BT11:BW11,0)=TRUE),"","x")</f>
      </c>
      <c r="BZ11" s="393"/>
      <c r="CA11" s="842">
        <f aca="true" t="shared" si="9" ref="CA11:CA31">IF(ISNA(MATCH(ADDRESS(ROW(BT11),COLUMN(BT11),4),$BX$38:$BX$49,0))=TRUE,"",IF(AND(ISNA(MATCH("PJK",$CH$38:$CH$49,0))=TRUE,MATCH(ADDRESS(ROW(BT11),COLUMN(BT11),4),$BX$38:$BX$49,0)&gt;MAX($BV$38:$BV$49)),"",IF(AND(VLOOKUP("PJK",$CH$37:$CK$49,3,FALSE)=35,$BY$34&lt;&gt;"",$BY$34=ADDRESS(ROW(BT11),COLUMN(BT11),4)),BT11,IF(MATCH(ADDRESS(ROW(BT11),COLUMN(BT11),4),$BX$38:$BX$49,0)&gt;MAX($BV$38:$BV$49),"",BT11))))</f>
      </c>
      <c r="CB11" s="842">
        <f aca="true" t="shared" si="10" ref="CB11:CB31">IF(ISNA(MATCH(ADDRESS(ROW(BU11),COLUMN(BU11),4),$BX$38:$BX$49,0))=TRUE,"",IF(AND(ISNA(MATCH("PJK",$CH$38:$CH$49,0))=TRUE,MATCH(ADDRESS(ROW(BU11),COLUMN(BU11),4),$BX$38:$BX$49,0)&gt;MAX($BV$38:$BV$49)),"",IF(AND(VLOOKUP("PJK",$CH$37:$CK$49,3,FALSE)=35,$BY$34&lt;&gt;"",$BY$34=ADDRESS(ROW(BU11),COLUMN(BU11),4)),BU11,IF(MATCH(ADDRESS(ROW(BU11),COLUMN(BU11),4),$BX$38:$BX$49,0)&gt;MAX($BV$38:$BV$49),"",BU11))))</f>
      </c>
      <c r="CC11" s="842">
        <f aca="true" t="shared" si="11" ref="CC11:CC31">IF(ISNA(MATCH(ADDRESS(ROW(BV11),COLUMN(BV11),4),$BX$38:$BX$49,0))=TRUE,"",IF(AND(ISNA(MATCH("PJK",$CH$38:$CH$49,0))=TRUE,MATCH(ADDRESS(ROW(BV11),COLUMN(BV11),4),$BX$38:$BX$49,0)&gt;MAX($BV$38:$BV$49)),"",IF(AND(VLOOKUP("PJK",$CH$37:$CK$49,3,FALSE)=35,$BY$34&lt;&gt;"",$BY$34=ADDRESS(ROW(BV11),COLUMN(BV11),4)),BV11,IF(MATCH(ADDRESS(ROW(BV11),COLUMN(BV11),4),$BX$38:$BX$49,0)&gt;MAX($BV$38:$BV$49),"",BV11))))</f>
      </c>
      <c r="CD11" s="842">
        <f aca="true" t="shared" si="12" ref="CD11:CD31">IF(ISNA(MATCH(ADDRESS(ROW(BW11),COLUMN(BW11),4),$BX$38:$BX$49,0))=TRUE,"",IF(AND(ISNA(MATCH("PJK",$CH$38:$CH$49,0))=TRUE,MATCH(ADDRESS(ROW(BW11),COLUMN(BW11),4),$BX$38:$BX$49,0)&gt;MAX($BV$38:$BV$49)),"",IF(AND(VLOOKUP("PJK",$CH$37:$CK$49,3,FALSE)=35,$BY$34&lt;&gt;"",$BY$34=ADDRESS(ROW(BW11),COLUMN(BW11),4)),BW11,IF(MATCH(ADDRESS(ROW(BW11),COLUMN(BW11),4),$BX$38:$BX$49,0)&gt;MAX($BV$38:$BV$49),"",BW11))))</f>
      </c>
      <c r="CE11" s="919"/>
      <c r="CF11" s="1033">
        <f aca="true" t="shared" si="13" ref="CF11:CF31">IF(ISNA(MATCH(ADDRESS(ROW(BT11),COLUMN(BT11),4),$BX$38:$BX$49,0))=TRUE,"",IF(OR($CI$6="",ISNA(MATCH("PJK",$CH$38:$CH$49,0)=TRUE)),CA11,IF(AND(COUNT($CA$32:$CD$34)=1,MATCH("PJK",$CH$38:$CH$49,0)+$BQ$38=35,ADDRESS(ROW(CA11),COLUMN(CA11),4)=$CI$6,CA11&lt;$CI$37),"",CA11)))</f>
      </c>
      <c r="CG11" s="1033">
        <f aca="true" t="shared" si="14" ref="CG11:CG31">IF(ISNA(MATCH(ADDRESS(ROW(BU11),COLUMN(BU11),4),$BX$38:$BX$49,0))=TRUE,"",IF(OR($CI$6="",ISNA(MATCH("PJK",$CH$38:$CH$49,0)=TRUE)),CB11,IF(AND(COUNT($CA$32:$CD$34)=1,MATCH("PJK",$CH$38:$CH$49,0)+$BQ$38=35,ADDRESS(ROW(CB11),COLUMN(CB11),4)=$CI$6,CB11&lt;$CI$37),"",CB11)))</f>
      </c>
      <c r="CH11" s="1033">
        <f aca="true" t="shared" si="15" ref="CH11:CH31">IF(ISNA(MATCH(ADDRESS(ROW(BV11),COLUMN(BV11),4),$BX$38:$BX$49,0))=TRUE,"",IF(OR($CI$6="",ISNA(MATCH("PJK",$CH$38:$CH$49,0)=TRUE)),CC11,IF(AND(COUNT($CA$32:$CD$34)=1,MATCH("PJK",$CH$38:$CH$49,0)+$BQ$38=35,ADDRESS(ROW(CC11),COLUMN(CC11),4)=$CI$6,CC11&lt;$CI$37),"",CC11)))</f>
      </c>
      <c r="CI11" s="1033">
        <f aca="true" t="shared" si="16" ref="CI11:CI31">IF(ISNA(MATCH(ADDRESS(ROW(BW11),COLUMN(BW11),4),$BX$38:$BX$49,0))=TRUE,"",IF(OR($CI$6="",ISNA(MATCH("PJK",$CH$38:$CH$49,0)=TRUE)),CD11,IF(AND(COUNT($CA$32:$CD$34)=1,MATCH("PJK",$CH$38:$CH$49,0)+$BQ$38=35,ADDRESS(ROW(CD11),COLUMN(CD11),4)=$CI$6,CD11&lt;$CI$37),"",CD11)))</f>
      </c>
      <c r="CJ11" s="393"/>
      <c r="CK11" s="919"/>
      <c r="CL11" s="393"/>
      <c r="CM11" s="684"/>
      <c r="CN11" s="672"/>
      <c r="CO11" s="259" t="str">
        <f aca="true" t="shared" si="17" ref="CO11:CO31">IF(Z11="","",Z11)</f>
        <v>E</v>
      </c>
      <c r="CP11" s="260">
        <f aca="true" t="shared" si="18" ref="CP11:CP31">IF(E11="","",E11)</f>
      </c>
      <c r="CQ11" s="259"/>
      <c r="CR11" s="260"/>
      <c r="CS11" s="345">
        <f aca="true" t="shared" si="19" ref="CS11:CV13">IF(OR($Z11="",H11=""),"",IF(BM11&lt;&gt;"",BM11,IF(CF11&lt;&gt;"",CF11,"("&amp;H11&amp;")")))</f>
      </c>
      <c r="CT11" s="345">
        <f t="shared" si="19"/>
      </c>
      <c r="CU11" s="345">
        <f t="shared" si="19"/>
      </c>
      <c r="CV11" s="345">
        <f t="shared" si="19"/>
      </c>
      <c r="CW11" s="50">
        <f>IF(CO11="","",COUNTA(CS11:CV11)-COUNTIF(CS11:CV11,""))</f>
        <v>0</v>
      </c>
      <c r="CX11" s="69">
        <f aca="true" t="shared" si="20" ref="CX11:CX31">IF(OR(CP11=1,CP11=2,CO11=""),"",SUM(CS11:CV11))</f>
        <v>0</v>
      </c>
      <c r="CY11" s="70">
        <f aca="true" t="shared" si="21" ref="CY11:CY31">IF(OR(CP11=1,CP11=2),2*SUM(CS11:CV11),"")</f>
      </c>
      <c r="CZ11" s="39"/>
      <c r="DA11" s="946"/>
      <c r="DB11" s="946"/>
      <c r="DC11" s="946"/>
      <c r="DD11" s="33"/>
      <c r="DE11" s="71">
        <f aca="true" t="shared" si="22" ref="DE11:DE32">IF(AND(CP11&lt;&gt;1,CP11&lt;&gt;2,CO11&lt;&gt;0),COUNTIF(CS11:CV11,"&lt;5"),"0")</f>
        <v>0</v>
      </c>
      <c r="DF11" s="71" t="str">
        <f aca="true" t="shared" si="23" ref="DF11:DF32">IF(OR(CP11=1,CP11=2),COUNTIF(CS11:CV11,"&lt;5"),"0")</f>
        <v>0</v>
      </c>
      <c r="DG11" s="642">
        <f>IF(CN5=1,IF(AND(OR(CW38=35,CW38=36),SUM(DE10:DF34)&gt;=8),2,""),IF(AND(OR(CW89=35,CW89=36),SUM(DE61:DF85)&gt;=8),2,""))</f>
      </c>
      <c r="DH11" s="642">
        <f>IF($CN$5=1,IF(ISNA(MATCH(DG11,$BU$38:$BU$49,0))=TRUE,"",VLOOKUP(DG11,$BU$38:$BY$49,4,FALSE)),IF(ISNA(MATCH(DG11,$BU$89:$BU$100,0))=TRUE,"",VLOOKUP(DG11,$BU$89:$BY$100,4,FALSE)))</f>
      </c>
      <c r="DI11" s="642">
        <f>IF(CN5=1,IF(ISNA(MATCH(DG11,$BU$38:$BU$49,0))=TRUE,"",VLOOKUP(DG11,$BU$38:$BY$49,5,FALSE)),IF(ISNA(MATCH(DG11,$BU$89:$BU$100,0))=TRUE,"",VLOOKUP(DG11,$BU$89:$BY$100,5,FALSE)))</f>
      </c>
      <c r="DJ11" s="393"/>
      <c r="DK11" s="642">
        <f aca="true" t="shared" si="24" ref="DK11:DN13">IF($CN$5=1,IF(ISNA(MATCH(ADDRESS(ROW(BT11),COLUMN(BT11),4),$DH$10:$DH$12,0))=TRUE,"",BT11),IF(ISNA(MATCH(ADDRESS(ROW(BT62),COLUMN(BT62),4),$DH$10:$DH$12,0))=TRUE,"",BT62))</f>
      </c>
      <c r="DL11" s="642">
        <f t="shared" si="24"/>
      </c>
      <c r="DM11" s="642">
        <f t="shared" si="24"/>
      </c>
      <c r="DN11" s="642">
        <f t="shared" si="24"/>
      </c>
      <c r="DO11" s="919"/>
      <c r="DP11" s="393"/>
      <c r="DQ11" s="684"/>
      <c r="DR11" s="672"/>
      <c r="DS11" s="259" t="str">
        <f aca="true" t="shared" si="25" ref="DS11:DS34">CO11</f>
        <v>E</v>
      </c>
      <c r="DT11" s="260">
        <f aca="true" t="shared" si="26" ref="DT11:DT34">CP11</f>
      </c>
      <c r="DU11" s="259"/>
      <c r="DV11" s="260"/>
      <c r="DW11" s="345">
        <f aca="true" t="shared" si="27" ref="DW11:DZ13">IF($CN$5=1,IF(DK11="",CS11,DK11),IF(DK11="",CS62,DK11))</f>
      </c>
      <c r="DX11" s="345">
        <f t="shared" si="27"/>
      </c>
      <c r="DY11" s="345">
        <f t="shared" si="27"/>
      </c>
      <c r="DZ11" s="345">
        <f t="shared" si="27"/>
      </c>
      <c r="EA11" s="50">
        <f>IF(DS11="","",COUNTA(DW11:DZ11)-COUNTIF(DW11:DZ11,""))</f>
        <v>0</v>
      </c>
      <c r="EB11" s="69">
        <f aca="true" t="shared" si="28" ref="EB11:EB31">IF(OR(DT11=1,DT11=2,DS11=""),"",SUM(DW11:DZ11))</f>
        <v>0</v>
      </c>
      <c r="EC11" s="70">
        <f aca="true" t="shared" si="29" ref="EC11:EC31">IF(OR(DT11=1,DT11=2),2*SUM(DW11:DZ11),"")</f>
      </c>
      <c r="ED11" s="39"/>
      <c r="EE11" s="946"/>
      <c r="EF11" s="946"/>
      <c r="EG11" s="71">
        <f aca="true" t="shared" si="30" ref="EG11:EG32">IF(AND(DT11&lt;&gt;1,DT11&lt;&gt;2,DS11&lt;&gt;0),COUNTIF(DW11:DZ11,"&lt;5"),"0")</f>
        <v>0</v>
      </c>
      <c r="EH11" s="71" t="str">
        <f aca="true" t="shared" si="31" ref="EH11:EH32">IF(OR(DT11=1,DT11=2),COUNTIF(DW11:DZ11,"&lt;5"),"0")</f>
        <v>0</v>
      </c>
      <c r="EI11" s="393"/>
      <c r="EJ11" s="393"/>
      <c r="EK11" s="64" t="s">
        <v>390</v>
      </c>
      <c r="EL11" s="1030">
        <f ca="1">IF(CN5=1,IF(OR(EL9="",EL8=0),BD11&amp;BD12&amp;BD13,IF(EM10&lt;14,INDIRECT("Z"&amp;EM10),INDIRECT(ADDRESS(23,COLUMN(INDIRECT(EM8))+5-MOD(COLUMN(INDIRECT(EM8)),8),4)))),IF(OR(EL9="",EL8=0),AL61,IF(EM10&lt;14,INDIRECT("Z"&amp;EM10),INDIRECT(ADDRESS(23,COLUMN(INDIRECT(EM8))+5-MOD(COLUMN(INDIRECT(EM8)),8),4)))))</f>
      </c>
      <c r="EM11" s="1033">
        <v>1</v>
      </c>
      <c r="EN11" s="568" t="s">
        <v>67</v>
      </c>
      <c r="EO11" s="571">
        <f aca="true" t="shared" si="32" ref="EO11:EP13">IF($CN$5=1,IF(OR(EE39&lt;9,COUNTA($D$11:$D$13)=1,$E11&lt;&gt;""),BM11,IF(OR($EL$11=$Z11,$EM$10=ROW(EN11)),H11,"")),IF(OR(EE39&lt;9,COUNTA($D$11:$D$13)=1,$E11&lt;&gt;""),BM62,IF(OR($EL$11=$Z11,$EM$10=ROW(EN11)),H11,"")))</f>
      </c>
      <c r="EP11" s="571">
        <f t="shared" si="32"/>
      </c>
      <c r="EQ11" s="571">
        <f aca="true" t="shared" si="33" ref="EQ11:ER13">IF($CN$5=1,IF(OR($EE$41&lt;9,COUNTA($D$11:$D$13)=1,$E11&lt;&gt;"",$EL$9=""),BO11,IF(OR($EL$11=$Z11,$EL$12=$Z11),J11,IF(OR($EM$10=ROW(EP11),AND($EN$12=$EM11,$EM$10&lt;14)),J11,""))),IF(OR($EE$41&lt;9,COUNTA($D$11:$D$13)=1,$E11&lt;&gt;"",$EL$9=""),BO62,IF(OR($EL$11=$Z11,$EL$12=$Z11),J11,IF(OR($EM$10=ROW(EP11),AND($EN$12=$EM11,$EM$10&lt;14)),J11,""))))</f>
      </c>
      <c r="ER11" s="571">
        <f t="shared" si="33"/>
      </c>
      <c r="ES11" s="391">
        <f aca="true" t="shared" si="34" ref="ES11:ES31">IF(OR(E11=1,E11=2),SUM(H11:K11),0)</f>
        <v>0</v>
      </c>
      <c r="ET11" s="959"/>
      <c r="EU11" s="958">
        <f aca="true" t="shared" si="35" ref="EU11:EX13">IF(OR(EO11&lt;&gt;"",H11="",$D11=""),"",H11)</f>
      </c>
      <c r="EV11" s="958">
        <f t="shared" si="35"/>
      </c>
      <c r="EW11" s="958">
        <f t="shared" si="35"/>
      </c>
      <c r="EX11" s="958">
        <f t="shared" si="35"/>
      </c>
      <c r="EY11" s="685"/>
      <c r="EZ11" s="579"/>
      <c r="FA11" s="962">
        <f t="shared" si="1"/>
        <v>0</v>
      </c>
      <c r="FB11" s="962">
        <f aca="true" t="shared" si="36" ref="FB11:FB32">COUNTIF(EU11:EX11,"&lt;5")</f>
        <v>0</v>
      </c>
      <c r="FC11" s="960"/>
      <c r="FD11" s="33" t="e">
        <f>IF(OR($ET37&lt;35,AND($FF11&gt;EV37,ET37&lt;40)),1,"")</f>
        <v>#NUM!</v>
      </c>
      <c r="FE11" s="248">
        <v>1</v>
      </c>
      <c r="FF11" s="33" t="e">
        <f aca="true" t="shared" si="37" ref="FF11:FF16">LARGE($EU$11:$EX$32,FE11)</f>
        <v>#NUM!</v>
      </c>
      <c r="FG11" s="33" t="e">
        <f>IF(OR($FF11="",ISERROR(MATCH($FF11,EX$11:EX$32,0)=TRUE)),0,MATCH($FF11,EX$11:EX$32,0)+10)</f>
        <v>#NUM!</v>
      </c>
      <c r="FH11" s="33" t="e">
        <f>IF(OR($FF11="",FG11&lt;&gt;0,ISERROR(MATCH($FF11,EW$11:EW$32,0)=TRUE)),0,MATCH($FF11,EW$11:EW$32,0)+10)</f>
        <v>#NUM!</v>
      </c>
      <c r="FI11" s="33" t="e">
        <f>IF(OR($FF11="",FG11&lt;&gt;0,FH11&lt;&gt;0,ISERROR(MATCH($FF11,EV$11:EV$32,0)=TRUE)),0,MATCH($FF11,EV$11:EV$32,0)+10)</f>
        <v>#NUM!</v>
      </c>
      <c r="FJ11" s="33" t="e">
        <f>IF(OR($FF11="",FG11&lt;&gt;0,FH11&lt;&gt;0,FI11&lt;&gt;0,ISERROR(MATCH($FF11,EU$11:EU$32,0)=TRUE)),0,MATCH($FF11,EU$11:EU$32,0)+10)</f>
        <v>#NUM!</v>
      </c>
      <c r="FK11" s="61" t="e">
        <f>IF(FG11&lt;&gt;0,$FG$10&amp;FG11,IF(FH11&lt;&gt;0,$FH$10&amp;FH11,IF(FI11&lt;&gt;0,$FI$10&amp;FI11,$FJ$10&amp;FJ11)))</f>
        <v>#NUM!</v>
      </c>
      <c r="FL11" s="842">
        <f aca="true" t="shared" si="38" ref="FL11:FL31">IF(ISNA(MATCH(ADDRESS(ROW(EU11),COLUMN(EU11),4),$FT$11:$FT$22,0))=TRUE,"",IF(MATCH(ADDRESS(ROW(EU11),COLUMN(EU11),4),$FT$11:$FT$22,0)&gt;MAX($FD$11:$FD$22),"",EU11))</f>
      </c>
      <c r="FM11" s="842">
        <f aca="true" t="shared" si="39" ref="FM11:FM31">IF(ISNA(MATCH(ADDRESS(ROW(EV11),COLUMN(EV11),4),$FT$11:$FT$22,0))=TRUE,"",IF(MATCH(ADDRESS(ROW(EV11),COLUMN(EV11),4),$FT$11:$FT$22,0)&gt;MAX($FD$11:$FD$22),"",EV11))</f>
      </c>
      <c r="FN11" s="842">
        <f aca="true" t="shared" si="40" ref="FN11:FN31">IF(ISNA(MATCH(ADDRESS(ROW(EW11),COLUMN(EW11),4),$FT$11:$FT$22,0))=TRUE,"",IF(MATCH(ADDRESS(ROW(EW11),COLUMN(EW11),4),$FT$11:$FT$22,0)&gt;MAX($FD$11:$FD$22),"",EW11))</f>
      </c>
      <c r="FO11" s="842">
        <f aca="true" t="shared" si="41" ref="FO11:FO31">IF(ISNA(MATCH(ADDRESS(ROW(EX11),COLUMN(EX11),4),$FT$11:$FT$22,0))=TRUE,"",IF(MATCH(ADDRESS(ROW(EX11),COLUMN(EX11),4),$FT$11:$FT$22,0)&gt;MAX($FD$11:$FD$22),"",EX11))</f>
      </c>
      <c r="FP11" s="255" t="e">
        <f>FD11</f>
        <v>#NUM!</v>
      </c>
      <c r="FQ11" s="917">
        <f ca="1">IF(RIGHT(FK10,2)="31",ADDRESS(31,COLUMN(INDIRECT(FK10))-1,4),"")</f>
      </c>
      <c r="FR11" s="917">
        <f aca="true" t="shared" si="42" ref="FR11:FR20">RIGHT(FQ11,2)</f>
      </c>
      <c r="FS11" s="917" t="e">
        <f>IF(FQ11&lt;&gt;"",FQ11,IF(FP11="","",IF(COUNTA($FQ10:FQ$11)-COUNTIF($FQ10:FQ$11,"")&lt;&gt;1,VLOOKUP(FP11,$FD$11:$FK$23,8,FALSE),VLOOKUP(FP11-1,$FE$11:$FK$23,7,FALSE))))</f>
        <v>#NUM!</v>
      </c>
      <c r="FT11" s="938" t="e">
        <f>IF(AND($FR$26&gt;MAX($FP$11:$FP$22),FP11=$FR$26-2,$FR$26-1=MAX($FP$11:$FP$22)),"",FS11)</f>
        <v>#NUM!</v>
      </c>
      <c r="FU11" s="255"/>
      <c r="FV11" s="672"/>
      <c r="FW11" s="259" t="str">
        <f>IF($D11="","",$D11)</f>
        <v>E</v>
      </c>
      <c r="FX11" s="260">
        <f>IF($E11="","",$E11)</f>
      </c>
      <c r="FY11" s="259"/>
      <c r="FZ11" s="260"/>
      <c r="GA11" s="345">
        <f aca="true" t="shared" si="43" ref="GA11:GD13">IF($CN$5=1,IF($EE$41&lt;8,CS11,IF($EE$41=8,DW11,IF(EO11&lt;&gt;"",EO11,IF(FL11&lt;&gt;"",FL11,IF(H11="","","("&amp;H11&amp;")"))))),IF($EE$41&lt;8,CS62,IF($EE$41=8,DW11,IF(EO11&lt;&gt;"",EO11,IF(FL11&lt;&gt;"",FL11,IF(H11="","","("&amp;H11&amp;")"))))))</f>
      </c>
      <c r="GB11" s="345">
        <f t="shared" si="43"/>
      </c>
      <c r="GC11" s="345">
        <f t="shared" si="43"/>
      </c>
      <c r="GD11" s="345">
        <f t="shared" si="43"/>
      </c>
      <c r="GE11" s="50">
        <f>IF(FW11="","",COUNTA(GA11:GD11)-COUNTIF(GA11:GD11,""))</f>
        <v>0</v>
      </c>
      <c r="GF11" s="69">
        <f aca="true" t="shared" si="44" ref="GF11:GF31">IF(OR(FX11=1,FX11=2,FW11=""),"",SUM(GA11:GD11))</f>
        <v>0</v>
      </c>
      <c r="GG11" s="70">
        <f aca="true" t="shared" si="45" ref="GG11:GG31">IF(OR(FX11=1,FX11=2),2*SUM(GA11:GD11),"")</f>
      </c>
      <c r="GH11" s="39"/>
      <c r="GI11" s="946"/>
      <c r="GJ11" s="946"/>
      <c r="GK11" s="71">
        <f aca="true" t="shared" si="46" ref="GK11:GK32">IF(AND(FX11&lt;&gt;1,FX11&lt;&gt;2,FW11&lt;&gt;0),COUNTIF(GA11:GD11,"&lt;5"),"0")</f>
        <v>0</v>
      </c>
      <c r="GL11" s="71" t="str">
        <f aca="true" t="shared" si="47" ref="GL11:GL32">IF(OR(FX11=1,FX11=2),COUNTIF(GA11:GD11,"&lt;5"),"0")</f>
        <v>0</v>
      </c>
      <c r="GM11" s="71"/>
      <c r="GN11" s="71">
        <f aca="true" t="shared" si="48" ref="GN11:GN20">IF(AND($GE$38-GO11&gt;34,GP11&lt;$GC$40),GO11,"")</f>
      </c>
      <c r="GO11" s="71">
        <v>1</v>
      </c>
      <c r="GP11" s="71">
        <f aca="true" t="shared" si="49" ref="GP11:GP20">IF(ISERROR(SMALL($FL$11:$FO$32,GO11))=TRUE,"",SMALL($FL$11:$FO$32,GO11))</f>
      </c>
      <c r="GQ11" s="61">
        <f>IF(OR($GP11="",ISERROR(MATCH($GP11,FL11:FL32,0)=TRUE)),0,MATCH($GP11,FL11:FL32,0)+10)</f>
        <v>0</v>
      </c>
      <c r="GR11" s="61">
        <f>IF(OR($GP11="",GQ11&lt;&gt;0,ISERROR(MATCH($GP11,FM11:FM32,0)=TRUE)),0,MATCH($GP$11,FM11:FM32,0)+10)</f>
        <v>0</v>
      </c>
      <c r="GS11" s="71">
        <f>IF(OR($GP11="",GQ11&lt;&gt;0,GR11&lt;&gt;0,ISERROR(MATCH($GP11,FN11:FN32,0)=TRUE)),0,MATCH($GP11,FN11:FN32,0)+10)</f>
        <v>0</v>
      </c>
      <c r="GT11" s="393">
        <f>IF(OR($GP11="",GQ11&lt;&gt;0,GR11&lt;&gt;0,GS11&lt;&gt;0,ISERROR(MATCH($GP11,FO11:FO32,0)=TRUE)),0,MATCH($GP11,FO11:FO32,0)+10)</f>
        <v>0</v>
      </c>
      <c r="GU11" s="61">
        <f aca="true" t="shared" si="50" ref="GU11:GU18">IF(GQ11&lt;&gt;0,$GQ$10&amp;GQ11,IF(GR11&lt;&gt;0,$GR$10&amp;GR11,IF(GS11&lt;&gt;0,$GS$10&amp;GS11,IF(GT11&lt;&gt;0,$GT$10&amp;GT11,""))))</f>
      </c>
      <c r="GV11" s="1065">
        <f aca="true" t="shared" si="51" ref="GV11:GV32">IF(OR(ISNA(MATCH("FL"&amp;ROW(FL11),$GU$11:$GU$23,0))=TRUE,$GI$41&gt;7),FL11,IF(ISNA(MATCH(MATCH("FL"&amp;ROW(FL11),$GU$11:$GU$23,0),$GN$11:$GN$23,0))=TRUE,FL11,""))</f>
      </c>
      <c r="GW11" s="1065">
        <f aca="true" t="shared" si="52" ref="GW11:GW32">IF(OR(ISNA(MATCH("FL"&amp;ROW(FM11),$GU$11:$GU$23,0))=TRUE,$GI$41&gt;7),FM11,IF(ISNA(MATCH(MATCH("FL"&amp;ROW(FM11),$GU$11:$GU$23,0),$GN$11:$GN$23,0))=TRUE,FM11,""))</f>
      </c>
      <c r="GX11" s="1065">
        <f aca="true" t="shared" si="53" ref="GX11:GX32">IF(OR(ISNA(MATCH("FL"&amp;ROW(FN11),$GU$11:$GU$23,0))=TRUE,$GI$41&gt;7),FN11,IF(ISNA(MATCH(MATCH("FL"&amp;ROW(FN11),$GU$11:$GU$23,0),$GN$11:$GN$23,0))=TRUE,FN11,""))</f>
      </c>
      <c r="GY11" s="1065">
        <f aca="true" t="shared" si="54" ref="GY11:GY32">IF(OR(ISNA(MATCH("FL"&amp;ROW(FO11),$GU$11:$GU$23,0))=TRUE,$GI$41&gt;7),FO11,IF(ISNA(MATCH(MATCH("FL"&amp;ROW(FO11),$GU$11:$GU$23,0),$GN$11:$GN$23,0))=TRUE,FO11,""))</f>
      </c>
      <c r="GZ11" s="393"/>
      <c r="HA11" s="324"/>
      <c r="HB11" s="672"/>
      <c r="HC11" s="259" t="str">
        <f>IF($D11="","",$D11)</f>
        <v>E</v>
      </c>
      <c r="HD11" s="260">
        <f>IF($E11="","",$E11)</f>
      </c>
      <c r="HE11" s="259"/>
      <c r="HF11" s="260"/>
      <c r="HG11" s="345">
        <f aca="true" t="shared" si="55" ref="HG11:HJ13">IF($CN$5=1,IF($EE$41&lt;8,CS11,IF($EE$41=8,DW11,IF(EO11&lt;&gt;"",EO11,IF(GV11&lt;&gt;"",GV11,IF(H11="","","("&amp;H11&amp;")"))))),IF($EE$41&lt;8,CS62,IF($EE$41=8,DW11,IF(EO11&lt;&gt;"",EO11,IF(GV11&lt;&gt;"",GV11,IF(H11="","","("&amp;H11&amp;")"))))))</f>
      </c>
      <c r="HH11" s="345">
        <f t="shared" si="55"/>
      </c>
      <c r="HI11" s="345">
        <f t="shared" si="55"/>
      </c>
      <c r="HJ11" s="345">
        <f t="shared" si="55"/>
      </c>
      <c r="HK11" s="50">
        <f>IF(HC11="","",COUNTA(HG11:HJ11)-COUNTIF(HG11:HJ11,""))</f>
        <v>0</v>
      </c>
      <c r="HL11" s="69">
        <f aca="true" t="shared" si="56" ref="HL11:HL31">IF(OR(HD11=1,HD11=2,HC11=""),"",SUM(HG11:HJ11))</f>
        <v>0</v>
      </c>
      <c r="HM11" s="70">
        <f aca="true" t="shared" si="57" ref="HM11:HM31">IF(OR(HD11=1,HD11=2),2*SUM(HG11:HJ11),"")</f>
      </c>
      <c r="HN11" s="39"/>
      <c r="HO11" s="946"/>
      <c r="HP11" s="946"/>
      <c r="HQ11" s="71">
        <f aca="true" t="shared" si="58" ref="HQ11:HQ32">IF(AND(HD11&lt;&gt;1,HD11&lt;&gt;2,HC11&lt;&gt;0),COUNTIF(HG11:HJ11,"&lt;5"),"0")</f>
        <v>0</v>
      </c>
      <c r="HR11" s="71" t="str">
        <f aca="true" t="shared" si="59" ref="HR11:HR32">IF(OR(HD11=1,HD11=2),COUNTIF(HG11:HJ11,"&lt;5"),"0")</f>
        <v>0</v>
      </c>
    </row>
    <row r="12" spans="1:226" ht="15" customHeight="1">
      <c r="A12" s="418">
        <f>IF(BD12="","",12)</f>
      </c>
      <c r="B12" s="418">
        <f>IF(OR(COUNTA($BE$11:$BE$13)=0,$BE$11&amp;$BE$12&amp;$BE$13&lt;&gt;$D12),"",12)</f>
      </c>
      <c r="C12" s="854">
        <f>IF(AND(A12="",B12="",C11="",D12&lt;&gt;"",COUNT(H12:K12)=4),12,"")</f>
      </c>
      <c r="D12" s="337" t="str">
        <f>IF(Zulassung!D11="","",Zulassung!D11)</f>
        <v>S0</v>
      </c>
      <c r="E12" s="514">
        <f>IF(Zulassung!E11="","",Zulassung!E11)</f>
      </c>
      <c r="F12" s="515">
        <f>IF(Zulassung!F11="","",Zulassung!F11)</f>
        <v>4</v>
      </c>
      <c r="G12" s="516">
        <f>IF(Zulassung!G11="","",Zulassung!G11)</f>
        <v>4</v>
      </c>
      <c r="H12" s="550">
        <f>IF(Zulassung!H11="","",Zulassung!H11)</f>
      </c>
      <c r="I12" s="551">
        <f>IF(Zulassung!I11="","",Zulassung!I11)</f>
      </c>
      <c r="J12" s="551">
        <f>IF(Zulassung!J11="","",Zulassung!J11)</f>
      </c>
      <c r="K12" s="552">
        <f>IF(Zulassung!K11="","",Zulassung!K11)</f>
      </c>
      <c r="L12" s="370">
        <f t="shared" si="0"/>
        <v>0</v>
      </c>
      <c r="O12" s="681"/>
      <c r="P12" s="255"/>
      <c r="Q12" s="1367">
        <f>IF(Zulassung!O11="","",Zulassung!O11)</f>
      </c>
      <c r="R12" s="1367"/>
      <c r="S12" s="380"/>
      <c r="T12" s="842">
        <f aca="true" t="shared" si="60" ref="T12:T34">IF(AND(E12&lt;&gt;1,E12&lt;&gt;2,D12&lt;&gt;0),COUNTIF(H12:K12,"&lt;5"),0)</f>
        <v>0</v>
      </c>
      <c r="U12" s="842" t="str">
        <f t="shared" si="2"/>
        <v>0</v>
      </c>
      <c r="V12" s="842">
        <f t="shared" si="3"/>
        <v>0</v>
      </c>
      <c r="W12" s="842">
        <f t="shared" si="4"/>
        <v>0</v>
      </c>
      <c r="Z12" s="842" t="str">
        <f aca="true" t="shared" si="61" ref="Z12:Z34">IF(D12="","",D12)</f>
        <v>S0</v>
      </c>
      <c r="AA12" s="842">
        <f>IF(OR(AND(G12="",MAX(H12:K12)&gt;0),AND(H12="",MAX(I12:K12)&gt;0),AND(I12="",MAX(J12:K12)&gt;0),AND(J12="",K12&lt;&gt;"")),1,0)</f>
        <v>0</v>
      </c>
      <c r="AB12" s="842">
        <f>IF(OR(Zulassung!L11=0,Zulassung!L11=""),0,Zulassung!L11)</f>
        <v>0</v>
      </c>
      <c r="AC12" s="842">
        <v>4</v>
      </c>
      <c r="AD12" s="842" t="str">
        <f>IF(Z12="","",IF(OR($AB$11=4,$AB$12=4,$AB$13=4),"W","F"))</f>
        <v>F</v>
      </c>
      <c r="AE12" s="842">
        <f>SUM(H12:K12)</f>
        <v>0</v>
      </c>
      <c r="AF12" s="842">
        <f>SUM(H12:I12)</f>
        <v>0</v>
      </c>
      <c r="AG12" s="842">
        <f>IF(AJ12&lt;&gt;"","",SUM(J12:K12))</f>
        <v>0</v>
      </c>
      <c r="AH12" s="842">
        <f>IF(COUNT(H12:K12)=0,"",MIN(H12:K12))</f>
      </c>
      <c r="AI12" s="842">
        <f>IF(AH12="","",COUNTIF(H12:K12,AH12))</f>
      </c>
      <c r="AJ12" s="289">
        <f>IF(E12="","",Z12)</f>
      </c>
      <c r="AK12" s="842"/>
      <c r="AL12" s="255"/>
      <c r="AM12" s="842" t="str">
        <f>IF(OR(AND($BF$36&lt;&gt;"",ISNA(MATCH($BF$36,$Z$11:$Z$13,0))=FALSE,$BF$36=Z12),AJ11&lt;&gt;"",AJ13&lt;&gt;""),"",IF(AND($AE12=MAX($AE$11:$AE$13),COUNTIF($AE$11:$AE$13,MAX($AE$11:$AE$13))=1),Z12,IF(AND($AE12=MAX($AE$11:$AE$13),COUNTIF($AE$11:$AE$13,MAX($AE$11:$AE$13))&gt;1,$AG12=MAX($AG$11:$AG$13)),Z12,IF(AND(BD12&lt;&gt;"",BF12=$BF$36),Z12,""))))</f>
        <v>S0</v>
      </c>
      <c r="AN12" s="917">
        <f>IF(MAX(AO12:BC12)=MAX($AO$11:$BC$13),ROW(AO12),"")</f>
        <v>12</v>
      </c>
      <c r="AO12" s="505">
        <f>IF(OR($AB$12&lt;&gt;4,$AB$11&lt;&gt;4,$AB$25&lt;&gt;4,$AO$10="",AJ11&lt;&gt;"",AJ13&lt;&gt;"",AS10=""),"",SUM($AE$12,J11:K11)+$AE$25+MAX(H13:K13))</f>
      </c>
      <c r="AP12" s="965">
        <v>0</v>
      </c>
      <c r="AQ12" s="505">
        <f>IF(OR($AB$12&lt;&gt;4,$AB$13&lt;&gt;4,$AB$25&lt;&gt;4,$AQ$10="",AJ11&lt;&gt;"",AJ13&lt;&gt;"",AS10=""),"",SUM($AE$12,J13:K13)+$AE$25+MAX(H11:K11))</f>
      </c>
      <c r="AR12" s="326"/>
      <c r="AS12" s="975"/>
      <c r="AT12" s="842">
        <f>IF(OR($AB$12&lt;&gt;4,$AB$11&lt;&gt;4,$AB$26&lt;&gt;4,$AO$10="",AJ11&lt;&gt;"",AJ13&lt;&gt;"",AX10=""),"",SUM($AE$12,J11:K11)+$AE$26+MAX(H13:K13))</f>
      </c>
      <c r="AU12" s="842">
        <v>0</v>
      </c>
      <c r="AV12" s="842">
        <f>IF(OR($AB$12&lt;&gt;4,$AB$13&lt;&gt;4,$AB$26&lt;&gt;4,$AQ$10="",AJ11&lt;&gt;"",AJ13&lt;&gt;"",AX10=""),"",SUM($AE$12,J13:K13)+$AE$26+MAX(H11:K11))</f>
      </c>
      <c r="AW12" s="326"/>
      <c r="AX12" s="975"/>
      <c r="AY12" s="505">
        <f>IF(OR($AB$12&lt;&gt;4,$AB$11&lt;&gt;4,$AB$27&lt;&gt;4,$AO$10="",AJ11&lt;&gt;"",AJ13&lt;&gt;"",BC10=""),"",SUM($AE$12,J11:K11)+$AE$27+MAX(H13:K13))</f>
      </c>
      <c r="AZ12" s="505">
        <v>0</v>
      </c>
      <c r="BA12" s="505">
        <f>IF(OR($AB$12&lt;&gt;4,$AB$13&lt;&gt;4,$AB$27&lt;&gt;4,$AQ$10="",AJ11&lt;&gt;"",AJ13&lt;&gt;"",BC10=""),"",SUM($AE$12,J13:K13)+$AE$27+MAX(H11:K11))</f>
      </c>
      <c r="BB12" s="326"/>
      <c r="BC12" s="975"/>
      <c r="BD12" s="842">
        <f ca="1">IF(OR(E12&lt;&gt;"",COUNTIF($D$11:$D$13,"")=2),Z12,IF(OR(BD11&lt;&gt;"",AB12&lt;&gt;4),"",IF(AND(MAX(AO12:BC12)=MAX($AO$11:$BC$13),COUNTIF($AO$11:$BC$13,MAX($AO$11:$BC$13))=1),Z12,IF(OR(AND(MAX(AO12:BC12)=MAX($AO$11:$BC$13),COUNTIF($AO$11:$BC$13,MAX($AO$11:$BC$13))&gt;1,MIN(H12:I12)&gt;=MIN(INDIRECT("H"&amp;AN11&amp;AN13&amp;":I"&amp;AN11&amp;AN13))),AND(MAX(AO12:BC12)=MAX($AO$11:$BC$13),COUNTIF($AO$11:$BC$13,MAX($AO$11:$BC$13))&gt;1,MIN(H12:I12)=MIN(INDIRECT("H"&amp;AN11&amp;AN13&amp;":I"&amp;AN11&amp;AN13)),COUNTIF($AI$11:$AI$13,MIN($AI$11:$AI$13)&gt;=1))),Z12,""))))</f>
      </c>
      <c r="BE12" s="842">
        <f ca="1">IF(OR(BD12="",MAX(AO12:BA12)=0,COUNTIF($AJ$11:$AJ$13,"")=1),"",OFFSET($AO$10,0,MATCH(MAX(AO12:BC12),AO12:BC12,0)-1))</f>
      </c>
      <c r="BF12" s="842">
        <f ca="1">IF(BE12="","",IF(OR(MAX(AO12:BA12)&lt;MAX($AO$25:$BC$28),AND(MAX(AO12:BA12)=MAX($AO$25:$BC$28),INDIRECT("AH"&amp;MATCH($BE$15,Z11:Z13,0)+10)&lt;INDIRECT("AH"&amp;MATCH($BE$29,Z25:Z28,0)+23)),AND(MAX(AO12:BA12)=MAX($AO$25:$BC$28),INDIRECT("AH"&amp;MATCH($BE$15,Z11:Z13,0)+10)=INDIRECT("AH"&amp;MATCH($BE$29,Z25:Z28,0)+23),INDIRECT("AI"&amp;MATCH($BE$15,Z11:Z13,0)+10)&gt;=INDIRECT("AI"&amp;MATCH($BE$29,Z25:Z28,0)+23)),AND(COUNTA($D$11:$D$13)=3,COUNTIF($Q$11:$R$13,"s")=1)),"",BE12))</f>
      </c>
      <c r="BG12" s="248">
        <f>IF(BE12="","",MAX(AO12:BC12))</f>
      </c>
      <c r="BH12" s="61"/>
      <c r="BI12" s="61"/>
      <c r="BJ12" s="61"/>
      <c r="BK12" s="411" t="s">
        <v>327</v>
      </c>
      <c r="BL12" s="410"/>
      <c r="BM12" s="842">
        <f>IF(H12="","",IF(OR($E12&lt;&gt;"",$BD12&lt;&gt;""),H12,IF(AND(COUNTIF($E$12:$E$13,"")=1,$BD12&lt;&gt;""),H12,IF(OR(AND(COUNTIF($E$12:$E$13,"")=1,ISNA(MATCH($BF$36,$BF$25:$BF$28,0))=FALSE),AND($E$28&lt;&gt;"",BD12=""),AND(COUNTIF($E$12:$E$13,"")=1,ISNA(MATCH($BF$36,$BF$25:$BF$28,0))=FALSE),AND(OR(BD12&lt;&gt;"",$BD13&lt;&gt;""),$BD12="")),"",IF(AND(ISNA(MATCH($BF$36,$BF$25:$BF$28,0))=FALSE,$BD12&lt;&gt;""),H12,"")))))</f>
      </c>
      <c r="BN12" s="842">
        <f>IF(I12="","",IF(OR($E12&lt;&gt;"",$BD12&lt;&gt;""),I12,IF(AND(COUNTIF($E$12:$E$13,"")=1,$BD12&lt;&gt;""),I12,IF(OR(AND(COUNTIF($E$12:$E$13,"")=1,ISNA(MATCH($BF$36,$BF$25:$BF$28,0))=FALSE),AND($E$28&lt;&gt;"",AN12=""),AND(COUNTIF($E$12:$E$13,"")=1,ISNA(MATCH($BF$36,$BF$25:$BF$28,0))=FALSE),AND(OR(BD12&lt;&gt;"",$BD13&lt;&gt;""),$BD12="")),"",IF(AND(ISNA(MATCH($BF$36,$BF$25:$BF$28,0))=FALSE,$BD12&lt;&gt;""),I12,"")))))</f>
      </c>
      <c r="BO12" s="842">
        <f>IF(J12="","",IF(OR($AM12&lt;&gt;"",$E12&lt;&gt;"",$BF$36=$Z12),J12,IF(AND(COUNTIF($E$11:$E$13,"")=1,$AM12&lt;&gt;""),J12,IF(OR(AND(COUNTIF($E$11:$E$13,"")=1,ISNA(MATCH($BF$36,$BF$25:$BF$28,0))=FALSE),AND($E$28&lt;&gt;"",$AM12="")),"",IF(AND(ISNA(MATCH($BF$36,$BF$25:$BF$28,0))=FALSE,$BD12&lt;&gt;""),J12,IF($BF$36=$Z12,J12,""))))))</f>
      </c>
      <c r="BP12" s="842">
        <f>IF(K12="","",IF(OR($AM12&lt;&gt;"",$E12&lt;&gt;"",$BF$36=$Z12),K12,IF(AND(COUNTIF($E$11:$E$13,"")=1,$AM12&lt;&gt;""),K12,IF(OR(AND(COUNTIF($E$11:$E$13,"")=1,ISNA(MATCH($BF$36,$BF$25:$BF$28,0))=FALSE),AND($E$28&lt;&gt;"",$AM12="")),"",IF(AND(ISNA(MATCH($BF$36,$BF$25:$BF$28,0))=FALSE,$BD12&lt;&gt;""),K12,IF($BF$36=$Z12,K12,""))))))</f>
      </c>
      <c r="BQ12" s="247">
        <f>IF(OR(E12=1,E12=2),SUM(H12:K12),0)</f>
        <v>0</v>
      </c>
      <c r="BR12" s="567">
        <f t="shared" si="5"/>
        <v>0</v>
      </c>
      <c r="BS12" s="567">
        <f aca="true" t="shared" si="62" ref="BS12:BS21">IF(OR(E12=1,E22=2),COUNTIF(BM12:BP12,"&lt;5"),0)</f>
        <v>0</v>
      </c>
      <c r="BT12" s="842">
        <f t="shared" si="7"/>
      </c>
      <c r="BU12" s="842">
        <f t="shared" si="7"/>
      </c>
      <c r="BV12" s="842">
        <f t="shared" si="7"/>
      </c>
      <c r="BW12" s="842">
        <f t="shared" si="7"/>
      </c>
      <c r="BX12" s="327"/>
      <c r="BY12" s="1072">
        <f t="shared" si="8"/>
      </c>
      <c r="BZ12" s="393"/>
      <c r="CA12" s="842">
        <f t="shared" si="9"/>
      </c>
      <c r="CB12" s="842">
        <f t="shared" si="10"/>
      </c>
      <c r="CC12" s="842">
        <f t="shared" si="11"/>
      </c>
      <c r="CD12" s="842">
        <f t="shared" si="12"/>
      </c>
      <c r="CE12" s="919"/>
      <c r="CF12" s="1033">
        <f t="shared" si="13"/>
      </c>
      <c r="CG12" s="1033">
        <f t="shared" si="14"/>
      </c>
      <c r="CH12" s="1033">
        <f t="shared" si="15"/>
      </c>
      <c r="CI12" s="1033">
        <f t="shared" si="16"/>
      </c>
      <c r="CJ12" s="393"/>
      <c r="CK12" s="919"/>
      <c r="CL12" s="393"/>
      <c r="CM12" s="684"/>
      <c r="CN12" s="672"/>
      <c r="CO12" s="259" t="str">
        <f t="shared" si="17"/>
        <v>S0</v>
      </c>
      <c r="CP12" s="260">
        <f t="shared" si="18"/>
      </c>
      <c r="CQ12" s="259"/>
      <c r="CR12" s="260"/>
      <c r="CS12" s="345">
        <f t="shared" si="19"/>
      </c>
      <c r="CT12" s="345">
        <f t="shared" si="19"/>
      </c>
      <c r="CU12" s="345">
        <f t="shared" si="19"/>
      </c>
      <c r="CV12" s="345">
        <f t="shared" si="19"/>
      </c>
      <c r="CW12" s="50">
        <f>IF(CO12="","",COUNTA(CS12:CV12)-COUNTIF(CS12:CV12,""))</f>
        <v>0</v>
      </c>
      <c r="CX12" s="69">
        <f t="shared" si="20"/>
        <v>0</v>
      </c>
      <c r="CY12" s="70">
        <f t="shared" si="21"/>
      </c>
      <c r="CZ12" s="39"/>
      <c r="DA12" s="380"/>
      <c r="DB12" s="380"/>
      <c r="DC12" s="380"/>
      <c r="DD12" s="33"/>
      <c r="DE12" s="71">
        <f t="shared" si="22"/>
        <v>0</v>
      </c>
      <c r="DF12" s="71" t="str">
        <f t="shared" si="23"/>
        <v>0</v>
      </c>
      <c r="DG12" s="642">
        <f>IF(CN5=1,IF(AND(CW38=35,SUM(DE10:DF34)&gt;=8),3,""),IF(AND(CW89=35,SUM(DE61:DF85)&gt;=8),3,""))</f>
      </c>
      <c r="DH12" s="642">
        <f>IF($CN$5=1,IF(ISNA(MATCH(DG12,$BU$38:$BU$49,0))=TRUE,"",VLOOKUP(DG12,$BU$38:$BY$49,4,FALSE)),IF(ISNA(MATCH(DG12,$BU$89:$BU$100,0))=TRUE,"",VLOOKUP(DG12,$BU$89:$BY$100,4,FALSE)))</f>
      </c>
      <c r="DI12" s="642">
        <f>IF(ISNA(MATCH(DG12,$BU$38:$BU$49,0))=TRUE,"",VLOOKUP(DG12,$BU$38:$BY$49,5,FALSE))</f>
      </c>
      <c r="DJ12" s="393"/>
      <c r="DK12" s="642">
        <f t="shared" si="24"/>
      </c>
      <c r="DL12" s="642">
        <f t="shared" si="24"/>
      </c>
      <c r="DM12" s="642">
        <f t="shared" si="24"/>
      </c>
      <c r="DN12" s="642">
        <f t="shared" si="24"/>
      </c>
      <c r="DO12" s="919"/>
      <c r="DP12" s="393"/>
      <c r="DQ12" s="684"/>
      <c r="DR12" s="672"/>
      <c r="DS12" s="259" t="str">
        <f t="shared" si="25"/>
        <v>S0</v>
      </c>
      <c r="DT12" s="260">
        <f t="shared" si="26"/>
      </c>
      <c r="DU12" s="259"/>
      <c r="DV12" s="260"/>
      <c r="DW12" s="345">
        <f t="shared" si="27"/>
      </c>
      <c r="DX12" s="345">
        <f t="shared" si="27"/>
      </c>
      <c r="DY12" s="345">
        <f t="shared" si="27"/>
      </c>
      <c r="DZ12" s="345">
        <f t="shared" si="27"/>
      </c>
      <c r="EA12" s="50">
        <f>IF(DS12="","",COUNTA(DW12:DZ12)-COUNTIF(DW12:DZ12,""))</f>
        <v>0</v>
      </c>
      <c r="EB12" s="69">
        <f t="shared" si="28"/>
        <v>0</v>
      </c>
      <c r="EC12" s="70">
        <f t="shared" si="29"/>
      </c>
      <c r="ED12" s="39"/>
      <c r="EE12" s="380"/>
      <c r="EF12" s="380"/>
      <c r="EG12" s="71">
        <f t="shared" si="30"/>
        <v>0</v>
      </c>
      <c r="EH12" s="71" t="str">
        <f t="shared" si="31"/>
        <v>0</v>
      </c>
      <c r="EI12" s="393"/>
      <c r="EJ12" s="393"/>
      <c r="EK12" s="64" t="s">
        <v>391</v>
      </c>
      <c r="EL12" s="1030">
        <f ca="1">IF(CN5=1,IF(AND(EL9="",ISNA(MATCH(BF36,D11:D13,0))=FALSE),BF36,IF(EM10&gt;14,"",INDIRECT(EM9&amp;"10"))),IF(AND(EL9="",ISNA(MATCH(BF36,D11:D13,0))=FALSE),BF36,IF(EM10&gt;14,"",INDIRECT(EM9&amp;"10"))))</f>
      </c>
      <c r="EM12" s="1033">
        <v>2</v>
      </c>
      <c r="EN12" s="1046">
        <f ca="1">IF(EL9="","",MOD(COLUMN(INDIRECT(VLOOKUP($EL$9,$BC$38:$BD$53,2,FALSE))),5))</f>
      </c>
      <c r="EO12" s="571">
        <f t="shared" si="32"/>
      </c>
      <c r="EP12" s="571">
        <f t="shared" si="32"/>
      </c>
      <c r="EQ12" s="571">
        <f t="shared" si="33"/>
      </c>
      <c r="ER12" s="571">
        <f t="shared" si="33"/>
      </c>
      <c r="ES12" s="391">
        <f t="shared" si="34"/>
        <v>0</v>
      </c>
      <c r="ET12" s="959"/>
      <c r="EU12" s="958">
        <f t="shared" si="35"/>
      </c>
      <c r="EV12" s="958">
        <f t="shared" si="35"/>
      </c>
      <c r="EW12" s="958">
        <f t="shared" si="35"/>
      </c>
      <c r="EX12" s="958">
        <f t="shared" si="35"/>
      </c>
      <c r="EY12" s="685"/>
      <c r="EZ12" s="579"/>
      <c r="FA12" s="962">
        <f t="shared" si="1"/>
        <v>0</v>
      </c>
      <c r="FB12" s="962">
        <f t="shared" si="36"/>
        <v>0</v>
      </c>
      <c r="FC12" s="960"/>
      <c r="FD12" s="33" t="e">
        <f>IF(FD11="","",IF(OR(COUNT($EO$10:$ER$30)+FD11&lt;38,AND(MAX($FD$11:FD11)+$ET$37&lt;40,AND(ET38&lt;40,FF12&gt;EV38))),FD11+1,""))</f>
        <v>#NUM!</v>
      </c>
      <c r="FE12" s="248">
        <v>2</v>
      </c>
      <c r="FF12" s="33" t="e">
        <f t="shared" si="37"/>
        <v>#NUM!</v>
      </c>
      <c r="FG12" s="33" t="e">
        <f ca="1">IF(OR($FF12="",ISERROR(MATCH($FF12,EX$11:EX$32,0))=TRUE),0,IF(OR(AND(COUNTIF(EX$11:EX$32,$FF12)=1,ISNA(MATCH(MATCH($FF12,EX$11:EX$32,0)+10,FG$11:FG11,0)=TRUE)),AND(COUNTIF(EX$11:EX$32,$FF12)&gt;=2,$FF11&lt;&gt;$FF12)),MATCH($FF12,EX$11:EX$32,0)+10,IF(AND(COUNTIF(EX$11:EX$32,$FF12)&gt;=2,COUNTIF(INDIRECT("FG$"&amp;MATCH($FF12,$FF$11:$FF12,0)+10):FG11,"&gt;0")&lt;COUNTIF(EX$11:EX$32,$FF12)),MATCH($FF12,INDIRECT("EX"&amp;FG11+1):$EX$34,0)+FG11,0)))</f>
        <v>#NUM!</v>
      </c>
      <c r="FH12" s="33" t="e">
        <f ca="1">IF(OR($FF12="",FG12&lt;&gt;0,ISERROR(MATCH($FF12,$EW$11:$EW$32,0))=TRUE),0,IF(OR(AND(COUNTIF($EW$11:$EW$32,$FF12)=1,ISNA(MATCH(MATCH($FF12,$EW$11:$EW$32,0)+10,FH$11:FH11,0)=TRUE)),AND(COUNTIF($EW$11:$EW$32,$FF12)&gt;=2,$FF11&lt;&gt;$FF12)),MATCH($FF12,$EW$11:$EW$32,0)+10,IF(AND(COUNTIF($EW$11:$EW$32,$FF12)&gt;=2,COUNTIF(INDIRECT("FH$"&amp;MATCH($FF12,$FF$11:$FF12,0)+10):FH11,"&gt;0")&lt;COUNTIF($EW$11:$EW$32,$FF12)),MATCH($FF12,INDIRECT("EW"&amp;FH11+1):$EW$34,0)+FH11,0)))</f>
        <v>#NUM!</v>
      </c>
      <c r="FI12" s="33" t="e">
        <f ca="1">IF(OR($FF12="",FG12&lt;&gt;0,FH12&lt;&gt;0,ISERROR(MATCH($FF12,EV$11:EV$32,0))=TRUE),0,IF(OR(AND(COUNTIF(EV$11:EV$32,$FF12)=1,ISNA(MATCH(MATCH($FF12,EV$11:EV$32,0)+10,FI$11:FI11,0)=TRUE)),AND(COUNTIF(EV$11:EV$32,$FF12)&gt;=2,$FF11&lt;&gt;$FF12)),MATCH($FF12,EV$11:EV$32,0)+10,IF(AND(COUNTIF(EV$11:EV$32,$FF12)&gt;=2,COUNTIF(INDIRECT("FI$"&amp;MATCH($FF12,$FF$11:$FF12,0)+10):FI11,"&gt;0")&lt;COUNTIF(EV$11:EV$32,$FF12)),MATCH($FF12,INDIRECT("EV"&amp;FI11+1):$EV$34,0)+FI11,0)))</f>
        <v>#NUM!</v>
      </c>
      <c r="FJ12" s="33" t="e">
        <f ca="1">IF(OR($FF12="",FG12&lt;&gt;0,FH12&lt;&gt;0,FI12&lt;&gt;0,ISERROR(MATCH($FF12,$EU$11:$EU$32,0))=TRUE),0,IF(OR(AND(COUNTIF($EU$11:$EU$32,$FF12)=1,ISNA(MATCH(MATCH($FF12,$EU$11:$EU$32,0)+10,FJ$11:FJ11,0)=TRUE)),AND(COUNTIF($EU$11:$EU$32,$FF12)&gt;=2,$FF11&lt;&gt;$FF12)),MATCH($FF12,$EU$11:$EU$32,0)+10,IF(AND(COUNTIF($EU$11:$EU$32,$FF12)&gt;=2,COUNTIF(INDIRECT("FJ$"&amp;MATCH($FF12,$FF$11:$FF12,0)+10):FJ11,"&gt;0")&lt;COUNTIF($EU$11:$EU$32,$FF12)),MATCH($FF12,INDIRECT("EU"&amp;FJ11+1):$EU$34,0)+FJ11,0)))</f>
        <v>#NUM!</v>
      </c>
      <c r="FK12" s="61" t="e">
        <f aca="true" t="shared" si="63" ref="FK12:FK20">IF(FG12&lt;&gt;0,$FG$10&amp;FG12,IF(FH12&lt;&gt;0,$FH$10&amp;FH12,IF(FI12&lt;&gt;0,$FI$10&amp;FI12,$FJ$10&amp;FJ12)))</f>
        <v>#NUM!</v>
      </c>
      <c r="FL12" s="842">
        <f t="shared" si="38"/>
      </c>
      <c r="FM12" s="842">
        <f t="shared" si="39"/>
      </c>
      <c r="FN12" s="842">
        <f t="shared" si="40"/>
      </c>
      <c r="FO12" s="842">
        <f t="shared" si="41"/>
      </c>
      <c r="FP12" s="255" t="e">
        <f aca="true" t="shared" si="64" ref="FP12:FP20">FD12</f>
        <v>#NUM!</v>
      </c>
      <c r="FQ12" s="917" t="e">
        <f ca="1">IF(AND(RIGHT(FK11,2)="31",COUNTA($FQ$11:FQ11)-COUNTIF($FQ$11:FQ11,"")=0),ADDRESS(31,COLUMN(INDIRECT(FK11))-1,4),"")</f>
        <v>#NUM!</v>
      </c>
      <c r="FR12" s="917" t="e">
        <f t="shared" si="42"/>
        <v>#NUM!</v>
      </c>
      <c r="FS12" s="917" t="e">
        <f>IF(FQ12&lt;&gt;"",FQ12,IF(FP12="","",IF(COUNTA($FQ$11:FQ11)-COUNTIF($FQ$11:FQ11,"")&lt;&gt;1,VLOOKUP(FP12,$FD$11:$FK$23,8,FALSE),VLOOKUP(FP12-1,$FE$11:$FK$23,7,FALSE))))</f>
        <v>#NUM!</v>
      </c>
      <c r="FT12" s="938" t="e">
        <f>IF(AND($FR$26&gt;MAX($FP$11:$FP$22),FP12=$FR$26-2,$FR$26-1=MAX($FP$11:$FP$22)),"",IF(AND(FS12&lt;&gt;"",ISNA(MATCH(FS12,$FT$11:FT11,0))=FALSE),FK12,FS12))</f>
        <v>#NUM!</v>
      </c>
      <c r="FU12" s="255"/>
      <c r="FV12" s="672"/>
      <c r="FW12" s="259" t="str">
        <f>IF($D12="","",$D12)</f>
        <v>S0</v>
      </c>
      <c r="FX12" s="260">
        <f>IF($E12="","",$E12)</f>
      </c>
      <c r="FY12" s="259"/>
      <c r="FZ12" s="260"/>
      <c r="GA12" s="345">
        <f t="shared" si="43"/>
      </c>
      <c r="GB12" s="345">
        <f t="shared" si="43"/>
      </c>
      <c r="GC12" s="345">
        <f t="shared" si="43"/>
      </c>
      <c r="GD12" s="345">
        <f t="shared" si="43"/>
      </c>
      <c r="GE12" s="50">
        <f>IF(FW12="","",COUNTA(GA12:GD12)-COUNTIF(GA12:GD12,""))</f>
        <v>0</v>
      </c>
      <c r="GF12" s="69">
        <f t="shared" si="44"/>
        <v>0</v>
      </c>
      <c r="GG12" s="70">
        <f t="shared" si="45"/>
      </c>
      <c r="GH12" s="39"/>
      <c r="GI12" s="380"/>
      <c r="GJ12" s="380"/>
      <c r="GK12" s="71">
        <f t="shared" si="46"/>
        <v>0</v>
      </c>
      <c r="GL12" s="71" t="str">
        <f t="shared" si="47"/>
        <v>0</v>
      </c>
      <c r="GM12" s="71"/>
      <c r="GN12" s="71">
        <f t="shared" si="48"/>
      </c>
      <c r="GO12" s="71">
        <v>2</v>
      </c>
      <c r="GP12" s="71">
        <f t="shared" si="49"/>
      </c>
      <c r="GQ12" s="61">
        <f ca="1">IF(OR($GP12="",ISERROR(MATCH($GP12,$FL$11:$FL$32,0))=TRUE),0,IF(OR(AND(COUNTIF($FL$11:$FL$32,$GP12)=1,ISNA(MATCH(MATCH($GP12,$FL$11:$FL$32,0)+10,GQ$11:GQ11,0)=TRUE)),AND(COUNTIF($FL$11:$FL$32,$GP12)&gt;=2,$GP11&lt;&gt;$GP12)),MATCH($GP12,$FL$11:$FL$32,0)+10,IF(AND(COUNTIF($FL$11:$FL$32,$GP12)&gt;=2,COUNTIF(INDIRECT("GQ$"&amp;MATCH($GP12,$GP$11:$GP12,0)+10):GQ11,"&gt;0")&lt;COUNTIF($FL$11:$FL$32,$GP12)),MATCH($GP12,INDIRECT("FL"&amp;GQ11+1):$FL$34,0)+GQ11,0)))</f>
        <v>0</v>
      </c>
      <c r="GR12" s="61">
        <f ca="1">IF(OR($GP12="",GQ12&lt;&gt;0,ISERROR(MATCH($GP12,$FM$11:$FM$32,0))=TRUE),0,IF(OR(AND(COUNTIF($FM$11:$FM$32,$GP12)=1,ISNA(MATCH(MATCH($GP12,$FM$11:$FM$32,0)+10,GR$11:GR11,0)=TRUE)),AND(COUNTIF($FM$11:$FM$32,$GP12)&gt;=2,$GP11&lt;&gt;$GP12)),MATCH($GP12,$FM$11:$FM$32,0)+10,IF(AND(COUNTIF($FM$11:$FM$32,$GP12)&gt;=2,COUNTIF(INDIRECT("GR$"&amp;MATCH($GP12,$GP$11:$GP12,0)+10):GR11,"&gt;0")&lt;COUNTIF($FM$11:$FM$32,$GP12)),MATCH($GP12,INDIRECT("FM"&amp;GR11+1):$FM$34,0)+GR11,0)))</f>
        <v>0</v>
      </c>
      <c r="GS12" s="61">
        <f ca="1">IF(OR($GP12="",GQ12&lt;&gt;0,GR12&lt;&gt;0,ISERROR(MATCH($GP12,$FN$11:$FN$32,0))=TRUE),0,IF(OR(AND(COUNTIF($FN$11:$FN$32,$GP12)=1,ISNA(MATCH(MATCH($GP12,$FN$11:$FN$32,0)+10,GS$11:GS11,0)=TRUE)),AND(COUNTIF($FN$11:$FN$32,$GP12)&gt;=2,$GP11&lt;&gt;$GP12)),MATCH($GP12,$FN$11:$FN$32,0)+10,IF(AND(COUNTIF($FN$11:$FN$32,$GP12)&gt;=2,COUNTIF(INDIRECT("GS$"&amp;MATCH($GP12,$GP$11:$GP12,0)+10):GS11,"&gt;0")&lt;COUNTIF($FN$11:$FN$32,$GP12)),MATCH($GP12,INDIRECT("FN"&amp;GS11+1):$GS$34,0)+GS11,0)))</f>
        <v>0</v>
      </c>
      <c r="GT12" s="61">
        <f ca="1">IF(OR($GP12="",GQ12&lt;&gt;0,GR12&lt;&gt;0,GS12&lt;&gt;0,ISERROR(MATCH($GP12,$FO$11:$FO$32,0))=TRUE),0,IF(OR(AND(COUNTIF($FO$11:$FO$32,$GP12)=1,ISNA(MATCH(MATCH($GP12,$FO$11:$FO$32,0)+10,GT$11:GT11,0)=TRUE)),AND(COUNTIF($FO$11:$FO$32,$GP12)&gt;=2,$GP11&lt;&gt;$GP12)),MATCH($GP12,$FO$11:$FO$32,0)+10,IF(AND(COUNTIF($FO$11:$FO$32,$GP12)&gt;=2,COUNTIF(INDIRECT("GT$"&amp;MATCH($GP12,$GP$11:$GP12,0)+10):GT11,"&gt;0")&lt;COUNTIF($FO$11:$FO$32,$GP12)),MATCH($GP12,INDIRECT("FO"&amp;GT11+1):$FO$34,0)+GT11,0)))</f>
        <v>0</v>
      </c>
      <c r="GU12" s="61">
        <f t="shared" si="50"/>
      </c>
      <c r="GV12" s="1065">
        <f t="shared" si="51"/>
      </c>
      <c r="GW12" s="1065">
        <f t="shared" si="52"/>
      </c>
      <c r="GX12" s="1065">
        <f t="shared" si="53"/>
      </c>
      <c r="GY12" s="1065">
        <f t="shared" si="54"/>
      </c>
      <c r="GZ12" s="393"/>
      <c r="HA12" s="324"/>
      <c r="HB12" s="672"/>
      <c r="HC12" s="259" t="str">
        <f>IF($D12="","",$D12)</f>
        <v>S0</v>
      </c>
      <c r="HD12" s="260">
        <f>IF($E12="","",$E12)</f>
      </c>
      <c r="HE12" s="259"/>
      <c r="HF12" s="260"/>
      <c r="HG12" s="345">
        <f t="shared" si="55"/>
      </c>
      <c r="HH12" s="345">
        <f t="shared" si="55"/>
      </c>
      <c r="HI12" s="345">
        <f t="shared" si="55"/>
      </c>
      <c r="HJ12" s="345">
        <f t="shared" si="55"/>
      </c>
      <c r="HK12" s="50">
        <f>IF(HC12="","",COUNTA(HG12:HJ12)-COUNTIF(HG12:HJ12,""))</f>
        <v>0</v>
      </c>
      <c r="HL12" s="69">
        <f t="shared" si="56"/>
        <v>0</v>
      </c>
      <c r="HM12" s="70">
        <f t="shared" si="57"/>
      </c>
      <c r="HN12" s="39"/>
      <c r="HO12" s="380"/>
      <c r="HP12" s="380"/>
      <c r="HQ12" s="71">
        <f t="shared" si="58"/>
        <v>0</v>
      </c>
      <c r="HR12" s="71" t="str">
        <f t="shared" si="59"/>
        <v>0</v>
      </c>
    </row>
    <row r="13" spans="1:226" ht="15" customHeight="1">
      <c r="A13" s="416">
        <f>IF(BD13="","",13)</f>
      </c>
      <c r="B13" s="416">
        <f>IF(OR(COUNTA($BE$11:$BE$13)=0,$BE$11&amp;$BE$12&amp;$BE$13&lt;&gt;$D13),"",13)</f>
        <v>13</v>
      </c>
      <c r="C13" s="856">
        <f>IF(AND(A13="",B13="",C11="",C12="",D13&lt;&gt;"",COUNT(H13:K13)=4),13,"")</f>
      </c>
      <c r="D13" s="337">
        <f>IF(Zulassung!D12="","",Zulassung!D12)</f>
      </c>
      <c r="E13" s="514">
        <f>IF(Zulassung!E12="","",Zulassung!E12)</f>
      </c>
      <c r="F13" s="515">
        <f>IF(Zulassung!F12="","",Zulassung!F12)</f>
      </c>
      <c r="G13" s="516">
        <f>IF(Zulassung!G12="","",Zulassung!G12)</f>
      </c>
      <c r="H13" s="550">
        <f>IF(Zulassung!H12="","",Zulassung!H12)</f>
      </c>
      <c r="I13" s="551">
        <f>IF(Zulassung!I12="","",Zulassung!I12)</f>
      </c>
      <c r="J13" s="551">
        <f>IF(Zulassung!J12="","",Zulassung!J12)</f>
      </c>
      <c r="K13" s="552">
        <f>IF(Zulassung!K12="","",Zulassung!K12)</f>
      </c>
      <c r="L13" s="370">
        <f t="shared" si="0"/>
      </c>
      <c r="O13" s="681"/>
      <c r="P13" s="255"/>
      <c r="Q13" s="1367">
        <f>IF(Zulassung!O12="","",Zulassung!O12)</f>
      </c>
      <c r="R13" s="1367"/>
      <c r="S13" s="380"/>
      <c r="T13" s="842">
        <f t="shared" si="60"/>
        <v>0</v>
      </c>
      <c r="U13" s="842" t="str">
        <f t="shared" si="2"/>
        <v>0</v>
      </c>
      <c r="V13" s="842">
        <f t="shared" si="3"/>
        <v>0</v>
      </c>
      <c r="W13" s="842">
        <f t="shared" si="4"/>
        <v>0</v>
      </c>
      <c r="Z13" s="842">
        <f t="shared" si="61"/>
      </c>
      <c r="AA13" s="842">
        <f>IF(OR(AND(G13="",MAX(H13:K13)&gt;0),AND(H13="",MAX(I13:K13)&gt;0),AND(I13="",MAX(J13:K13)&gt;0),AND(J13="",K13&lt;&gt;"")),1,0)</f>
        <v>0</v>
      </c>
      <c r="AB13" s="842">
        <f>IF(OR(Zulassung!L12=0,Zulassung!L12=""),0,Zulassung!L12)</f>
        <v>0</v>
      </c>
      <c r="AC13" s="842">
        <v>4</v>
      </c>
      <c r="AD13" s="842">
        <f>IF(Z13="","",IF(OR($AB$11=4,$AB$12=4,$AB$13=4),"W","F"))</f>
      </c>
      <c r="AE13" s="842">
        <f>SUM(H13:K13)</f>
        <v>0</v>
      </c>
      <c r="AF13" s="842">
        <f>SUM(H13:I13)</f>
        <v>0</v>
      </c>
      <c r="AG13" s="842">
        <f>IF(AJ13&lt;&gt;"","",SUM(J13:K13))</f>
        <v>0</v>
      </c>
      <c r="AH13" s="842">
        <f>IF(COUNT(H13:K13)=0,"",MIN(H13:K13))</f>
      </c>
      <c r="AI13" s="842">
        <f>IF(AH13="","",COUNTIF(H13:K13,AH13))</f>
      </c>
      <c r="AJ13" s="289">
        <f>IF(E13="","",Z13)</f>
      </c>
      <c r="AK13" s="842"/>
      <c r="AL13" s="255"/>
      <c r="AM13" s="842">
        <f>IF(OR(AND($BF$36&lt;&gt;"",ISNA(MATCH($BF$36,$Z$11:$Z$13,0))=FALSE,$BF$36=Z13),AJ11&lt;&gt;"",AJ12&lt;&gt;""),"",IF(AND($AE13=MAX($AE$11:$AE$13),COUNTIF($AE$11:$AE$13,MAX($AE$11:$AE$13))=1),Z13,IF(AND($AE13=MAX($AE$11:$AE$13),COUNTIF($AE$11:$AE$13,MAX($AE$11:$AE$13))&gt;1,$AG13=MAX($AG$11:$AG$13)),Z13,IF(AND(BD13&lt;&gt;"",BF13=$BF$36),Z13,""))))</f>
      </c>
      <c r="AN13" s="917">
        <f>IF(MAX(AO13:BC13)=MAX($AO$11:$BC$13),ROW(AO13),"")</f>
        <v>13</v>
      </c>
      <c r="AO13" s="505">
        <f>IF(OR($AB$13&lt;&gt;4,$AB$11&lt;&gt;4,$AB$25&lt;&gt;4,$AO$10="",AJ11&lt;&gt;"",AJ12&lt;&gt;"",AS10=""),"",SUM($AE$13,J11:K11)+$AE$25+MAX(H12:K12))</f>
      </c>
      <c r="AP13" s="505">
        <f>IF(OR($AB$13&lt;&gt;4,$AB$12&lt;&gt;4,$AB$25&lt;&gt;4,$AP$10="",AJ11&lt;&gt;"",AJ12&lt;&gt;"",AS10=""),"",SUM($AE$13,J12:K12)+$AE$25+MAX(H11:K11))</f>
      </c>
      <c r="AQ13" s="965">
        <v>0</v>
      </c>
      <c r="AR13" s="326"/>
      <c r="AS13" s="975"/>
      <c r="AT13" s="842">
        <f>IF(OR($AB$13&lt;&gt;4,$AB$11&lt;&gt;4,$AB$26&lt;&gt;4,$AO$10="",AJ11&lt;&gt;"",AJ12&lt;&gt;"",AX10=""),"",SUM($AE$13,J11:K11)+$AE$26+MAX(H12:K12))</f>
      </c>
      <c r="AU13" s="842">
        <f>IF(OR($AB$13&lt;&gt;4,$AB$12&lt;&gt;4,$AB$26&lt;&gt;4,$AP$10="",AJ11&lt;&gt;"",AJ12&lt;&gt;"",AX10=""),"",SUM($AE$13,J12:K12)+$AE$26+MAX(H11:K11))</f>
      </c>
      <c r="AV13" s="842">
        <v>0</v>
      </c>
      <c r="AW13" s="326"/>
      <c r="AX13" s="975"/>
      <c r="AY13" s="505">
        <f>IF(OR($AB$13&lt;&gt;4,$AB$11&lt;&gt;4,$AB$27&lt;&gt;4,$AO$10="",AJ11&lt;&gt;"",AJ12&lt;&gt;"",BC10=""),"",SUM($AE$13,J11:K11)+$AE$27+MAX(H12:K12))</f>
      </c>
      <c r="AZ13" s="505">
        <f>IF(OR($AB$13&lt;&gt;4,$AB$12&lt;&gt;4,$AB$27&lt;&gt;4,$AP$10="",AJ11&lt;&gt;"",AJ12&lt;&gt;"",BC10=""),"",SUM($AE$13,J12:K12)+$AE$27+MAX(H11:K11))</f>
      </c>
      <c r="BA13" s="505">
        <v>0</v>
      </c>
      <c r="BB13" s="326"/>
      <c r="BC13" s="975"/>
      <c r="BD13" s="842">
        <f ca="1">IF(OR(E13&lt;&gt;"",COUNTIF($D$11:$D$13,"")=2),Z13,IF(OR(BD11&lt;&gt;"",BD12&lt;&gt;"",AB13&lt;&gt;4),"",IF(AND(MAX(AO13:BC13)=MAX($AO$11:$BC$13),COUNTIF($AO$11:$BC$13,MAX($AO$11:$BC$13))=1),Z13,IF(OR(AND(MAX(AO13:BC13)=MAX($AO$11:$BC$13),COUNTIF($AO$11:$BC$13,MAX($AO$11:$BC$13))&gt;1,MIN(H13:I13)&gt;=MIN(INDIRECT("H"&amp;AN11&amp;AN12&amp;":I"&amp;AN11&amp;AN12))),AND(MAX(AO13:BC13)=MAX($AO$11:$BC$13),COUNTIF($AO$11:$BC$13,MAX($AO$11:$BC$13))&gt;1,MIN(H13:I13)=MIN(INDIRECT("H"&amp;AN11&amp;AN12&amp;":I"&amp;AN11&amp;AN12)),COUNTIF(AI11:AI13,MIN(AI11:AI13))&gt;=1)),Z13,""))))</f>
      </c>
      <c r="BE13" s="842">
        <f ca="1">IF(OR(BD13="",MAX(AO13:BA13)=0,COUNTIF($AJ$11:$AJ$13,"")=1),"",OFFSET($AO$10,0,MATCH(MAX(AO13:BC13),AO13:BC13,0)-1))</f>
      </c>
      <c r="BF13" s="842">
        <f ca="1">IF(BE13="","",IF(OR(MAX(AO13:BA13)&lt;MAX($AO$25:$BC$28),AND(MAX(AO13:BA13)=MAX($AO$25:$BC$28),INDIRECT("AH"&amp;MATCH($BE$15,$Z$11:$Z$13,0)+10)&lt;INDIRECT("AH"&amp;MATCH($BE$29,$Z$25:$Z$28,0)+23)),AND(MAX(AO13:BA13)=MAX($AO$25:$BC$28),INDIRECT("AH"&amp;MATCH($BE$15,$Z$11:$Z$13,0)+10)=INDIRECT("AH"&amp;MATCH($BE$29,$Z$25:$Z$28,0)+23),INDIRECT("AI"&amp;MATCH($BE$15,$Z$11:$Z$13,0)+10)&gt;=INDIRECT("AI"&amp;MATCH($BE$29,$Z$25:$Z$28,0)+23)),AND(COUNTA($D$11:$D$13)=3,COUNTIF($Q$11:$R$13,"s")=1)),"",BE13))</f>
      </c>
      <c r="BG13" s="248">
        <f>IF(BE13="","",MAX(AO13:BC13))</f>
      </c>
      <c r="BH13" s="61"/>
      <c r="BI13" s="61"/>
      <c r="BJ13" s="61"/>
      <c r="BK13" s="410">
        <f>MAX(BK15:BK17)</f>
        <v>0</v>
      </c>
      <c r="BL13" s="412">
        <f>MIN(BL15:BL17)</f>
        <v>99</v>
      </c>
      <c r="BM13" s="842">
        <f>IF(H13="","",IF(OR($E13&lt;&gt;"",$AM13&lt;&gt;""),H13,IF(AND(COUNTIF($E$11:$E$13,"")=1,$AM13&lt;&gt;""),H13,IF(OR(AND(COUNTIF($E$11:$E$13,"")=1,ISNA(MATCH($BF$36,$BF$25:$BF$28,0))=FALSE),AND($E$28&lt;&gt;"",AM13="")),"",IF(AND(ISNA(MATCH($BF$36,$BF$25:$BF$28,0))=FALSE,$BD13&lt;&gt;""),H13,"")))))</f>
      </c>
      <c r="BN13" s="842">
        <f>IF(I13="","",IF(OR($E13&lt;&gt;"",$AM13&lt;&gt;""),I13,IF(AND(COUNTIF($E$11:$E$13,"")=1,$AM13&lt;&gt;""),I13,IF(OR(AND(COUNTIF($E$11:$E$13,"")=1,ISNA(MATCH($BF$36,$BF$25:$BF$28,0))=FALSE),AND($E$28&lt;&gt;"",$AM13="")),"",IF(AND(ISNA(MATCH($BF$36,$BF$25:$BF$28,0))=FALSE,$BD13&lt;&gt;""),I13,"")))))</f>
      </c>
      <c r="BO13" s="842">
        <f>IF(J13="","",IF(OR($AM13&lt;&gt;"",$E13&lt;&gt;"",$BF$36=$Z13),J13,IF(AND(COUNTIF($E$11:$E$13,"")=1,$AM13&lt;&gt;""),J13,IF(OR(AND(COUNTIF($E$11:$E$13,"")=1,ISNA(MATCH($BF$36,$BF$25:$BF$28,0))=FALSE),AND($E$28&lt;&gt;"",$AM13="")),"",IF(AND(ISNA(MATCH($BF$36,$BF$25:$BF$28,0))=FALSE,$BD13&lt;&gt;""),J13,IF($BF$36=$Z13,J13,""))))))</f>
      </c>
      <c r="BP13" s="842">
        <f>IF(K13="","",IF(OR($AM13&lt;&gt;"",$E13&lt;&gt;"",$BF$36=$Z13),K13,IF(AND(COUNTIF($E$11:$E$13,"")=1,$AM13&lt;&gt;""),K13,IF(OR(AND(COUNTIF($E$11:$E$13,"")=1,ISNA(MATCH($BF$36,$BF$25:$BF$28,0))=FALSE),AND($E$28&lt;&gt;"",$AM13="")),"",IF(AND(ISNA(MATCH($BF$36,$BF$25:$BF$28,0))=FALSE,$BD13&lt;&gt;""),K13,IF($BF$36=$Z13,K13,""))))))</f>
      </c>
      <c r="BQ13" s="247">
        <f>IF(OR(E13=1,E13=2),SUM(H13:K13),0)</f>
        <v>0</v>
      </c>
      <c r="BR13" s="567">
        <f t="shared" si="5"/>
        <v>0</v>
      </c>
      <c r="BS13" s="567">
        <f t="shared" si="62"/>
        <v>0</v>
      </c>
      <c r="BT13" s="842">
        <f t="shared" si="7"/>
      </c>
      <c r="BU13" s="842">
        <f t="shared" si="7"/>
      </c>
      <c r="BV13" s="842">
        <f t="shared" si="7"/>
      </c>
      <c r="BW13" s="842">
        <f t="shared" si="7"/>
      </c>
      <c r="BX13" s="327"/>
      <c r="BY13" s="1072">
        <f t="shared" si="8"/>
      </c>
      <c r="BZ13" s="393"/>
      <c r="CA13" s="842">
        <f t="shared" si="9"/>
      </c>
      <c r="CB13" s="842">
        <f t="shared" si="10"/>
      </c>
      <c r="CC13" s="842">
        <f t="shared" si="11"/>
      </c>
      <c r="CD13" s="842">
        <f t="shared" si="12"/>
      </c>
      <c r="CE13" s="919"/>
      <c r="CF13" s="1033">
        <f t="shared" si="13"/>
      </c>
      <c r="CG13" s="1033">
        <f t="shared" si="14"/>
      </c>
      <c r="CH13" s="1033">
        <f t="shared" si="15"/>
      </c>
      <c r="CI13" s="1033">
        <f t="shared" si="16"/>
      </c>
      <c r="CJ13" s="393"/>
      <c r="CK13" s="919"/>
      <c r="CL13" s="393"/>
      <c r="CM13" s="684"/>
      <c r="CN13" s="672"/>
      <c r="CO13" s="259">
        <f t="shared" si="17"/>
      </c>
      <c r="CP13" s="260">
        <f t="shared" si="18"/>
      </c>
      <c r="CQ13" s="259"/>
      <c r="CR13" s="260"/>
      <c r="CS13" s="345">
        <f t="shared" si="19"/>
      </c>
      <c r="CT13" s="345">
        <f t="shared" si="19"/>
      </c>
      <c r="CU13" s="345">
        <f t="shared" si="19"/>
      </c>
      <c r="CV13" s="345">
        <f t="shared" si="19"/>
      </c>
      <c r="CW13" s="50">
        <f>IF(CO13="","",COUNTA(CS13:CV13)-COUNTIF(CS13:CV13,""))</f>
      </c>
      <c r="CX13" s="69">
        <f t="shared" si="20"/>
      </c>
      <c r="CY13" s="70">
        <f t="shared" si="21"/>
      </c>
      <c r="CZ13" s="39"/>
      <c r="DA13" s="380"/>
      <c r="DB13" s="380"/>
      <c r="DC13" s="380"/>
      <c r="DD13" s="33"/>
      <c r="DE13" s="71">
        <f t="shared" si="22"/>
        <v>0</v>
      </c>
      <c r="DF13" s="71" t="str">
        <f t="shared" si="23"/>
        <v>0</v>
      </c>
      <c r="DG13" s="393"/>
      <c r="DH13" s="642">
        <f>IF($CN$5=1,IF(ISNA(MATCH(DG13,$BU$38:$BU$49,0))=TRUE,"",VLOOKUP(DG13,$BU$38:$BY$49,4,FALSE)),IF(ISNA(MATCH(DG13,$BU$89:$BU$100,0))=TRUE,"",VLOOKUP(DG13,$BU$89:$BY$100,4,FALSE)))</f>
      </c>
      <c r="DI13" s="919"/>
      <c r="DJ13" s="393"/>
      <c r="DK13" s="642">
        <f t="shared" si="24"/>
      </c>
      <c r="DL13" s="642">
        <f t="shared" si="24"/>
      </c>
      <c r="DM13" s="642">
        <f t="shared" si="24"/>
      </c>
      <c r="DN13" s="642">
        <f t="shared" si="24"/>
      </c>
      <c r="DO13" s="919"/>
      <c r="DP13" s="393"/>
      <c r="DQ13" s="684"/>
      <c r="DR13" s="672"/>
      <c r="DS13" s="259">
        <f t="shared" si="25"/>
      </c>
      <c r="DT13" s="260">
        <f t="shared" si="26"/>
      </c>
      <c r="DU13" s="259"/>
      <c r="DV13" s="260"/>
      <c r="DW13" s="345">
        <f t="shared" si="27"/>
      </c>
      <c r="DX13" s="345">
        <f t="shared" si="27"/>
      </c>
      <c r="DY13" s="345">
        <f t="shared" si="27"/>
      </c>
      <c r="DZ13" s="345">
        <f t="shared" si="27"/>
      </c>
      <c r="EA13" s="50">
        <f>IF(DS13="","",COUNTA(DW13:DZ13)-COUNTIF(DW13:DZ13,""))</f>
      </c>
      <c r="EB13" s="69">
        <f t="shared" si="28"/>
      </c>
      <c r="EC13" s="70">
        <f t="shared" si="29"/>
      </c>
      <c r="ED13" s="39"/>
      <c r="EE13" s="380"/>
      <c r="EF13" s="380"/>
      <c r="EG13" s="71">
        <f t="shared" si="30"/>
        <v>0</v>
      </c>
      <c r="EH13" s="71" t="str">
        <f t="shared" si="31"/>
        <v>0</v>
      </c>
      <c r="EI13" s="393"/>
      <c r="EJ13" s="393"/>
      <c r="EK13" s="393"/>
      <c r="EL13" s="393"/>
      <c r="EM13" s="1033">
        <v>3</v>
      </c>
      <c r="EN13" s="568"/>
      <c r="EO13" s="571">
        <f t="shared" si="32"/>
      </c>
      <c r="EP13" s="571">
        <f t="shared" si="32"/>
      </c>
      <c r="EQ13" s="571">
        <f t="shared" si="33"/>
      </c>
      <c r="ER13" s="571">
        <f t="shared" si="33"/>
      </c>
      <c r="ES13" s="391">
        <f t="shared" si="34"/>
        <v>0</v>
      </c>
      <c r="ET13" s="959"/>
      <c r="EU13" s="958">
        <f t="shared" si="35"/>
      </c>
      <c r="EV13" s="958">
        <f t="shared" si="35"/>
      </c>
      <c r="EW13" s="958">
        <f t="shared" si="35"/>
      </c>
      <c r="EX13" s="958">
        <f t="shared" si="35"/>
      </c>
      <c r="EY13" s="685"/>
      <c r="EZ13" s="579"/>
      <c r="FA13" s="962">
        <f t="shared" si="1"/>
        <v>0</v>
      </c>
      <c r="FB13" s="962">
        <f t="shared" si="36"/>
        <v>0</v>
      </c>
      <c r="FC13" s="960"/>
      <c r="FD13" s="33" t="e">
        <f>IF(FD12="","",IF(OR(COUNT($EO$10:$ER$30)+FD12&lt;38,AND(MAX($FD$11:FD12)+$ET$37&lt;40,AND(ET39&lt;40,FF13&gt;EV39))),FD12+1,""))</f>
        <v>#NUM!</v>
      </c>
      <c r="FE13" s="248">
        <v>3</v>
      </c>
      <c r="FF13" s="33" t="e">
        <f t="shared" si="37"/>
        <v>#NUM!</v>
      </c>
      <c r="FG13" s="33" t="e">
        <f ca="1">IF(OR($FF13="",ISERROR(MATCH($FF13,EX$11:EX$32,0))=TRUE),0,IF(OR(AND(COUNTIF(EX$11:EX$32,$FF13)=1,ISNA(MATCH(MATCH($FF13,EX$11:EX$32,0)+10,FG$11:FG12,0)=TRUE)),AND(COUNTIF(EX$11:EX$32,$FF13)&gt;=2,$FF12&lt;&gt;$FF13)),MATCH($FF13,EX$11:EX$32,0)+10,IF(AND(COUNTIF(EX$11:EX$32,$FF13)&gt;=2,COUNTIF(INDIRECT("FG$"&amp;MATCH($FF13,$FF$11:$FF13,0)+10):FG12,"&gt;0")&lt;COUNTIF(EX$11:EX$32,$FF13)),MATCH($FF13,INDIRECT("EX"&amp;FG12+1):$EX$34,0)+FG12,0)))</f>
        <v>#NUM!</v>
      </c>
      <c r="FH13" s="33" t="e">
        <f ca="1">IF(OR($FF13="",FG13&lt;&gt;0,ISERROR(MATCH($FF13,$EW$11:$EW$32,0))=TRUE),0,IF(OR(AND(COUNTIF($EW$11:$EW$32,$FF13)=1,ISNA(MATCH(MATCH($FF13,$EW$11:$EW$32,0)+10,FH$11:FH12,0)=TRUE)),AND(COUNTIF($EW$11:$EW$32,$FF13)&gt;=2,$FF12&lt;&gt;$FF13)),MATCH($FF13,$EW$11:$EW$32,0)+10,IF(AND(COUNTIF($EW$11:$EW$32,$FF13)&gt;=2,COUNTIF(INDIRECT("FH$"&amp;MATCH($FF13,$FF$11:$FF13,0)+10):FH12,"&gt;0")&lt;COUNTIF($EW$11:$EW$32,$FF13)),MATCH($FF13,INDIRECT("EW"&amp;FH12+1):$EW$34,0)+FH12,0)))</f>
        <v>#NUM!</v>
      </c>
      <c r="FI13" s="33" t="e">
        <f ca="1">IF(OR($FF13="",FG13&lt;&gt;0,FH13&lt;&gt;0,ISERROR(MATCH($FF13,EV$11:EV$32,0))=TRUE),0,IF(OR(AND(COUNTIF(EV$11:EV$32,$FF13)=1,ISNA(MATCH(MATCH($FF13,EV$11:EV$32,0)+10,FI$11:FI12,0)=TRUE)),AND(COUNTIF(EV$11:EV$32,$FF13)&gt;=2,$FF12&lt;&gt;$FF13)),MATCH($FF13,EV$11:EV$32,0)+10,IF(AND(COUNTIF(EV$11:EV$32,$FF13)&gt;=2,COUNTIF(INDIRECT("FI$"&amp;MATCH($FF13,$FF$11:$FF13,0)+10):FI12,"&gt;0")&lt;COUNTIF(EV$11:EV$32,$FF13)),MATCH($FF13,INDIRECT("EV"&amp;FI12+1):$EV$34,0)+FI12,0)))</f>
        <v>#NUM!</v>
      </c>
      <c r="FJ13" s="33" t="e">
        <f ca="1">IF(OR($FF13="",FG13&lt;&gt;0,FH13&lt;&gt;0,FI13&lt;&gt;0,ISERROR(MATCH($FF13,$EU$11:$EU$32,0))=TRUE),0,IF(OR(AND(COUNTIF($EU$11:$EU$32,$FF13)=1,ISNA(MATCH(MATCH($FF13,$EU$11:$EU$32,0)+10,FJ$11:FJ12,0)=TRUE)),AND(COUNTIF($EU$11:$EU$32,$FF13)&gt;=2,$FF12&lt;&gt;$FF13)),MATCH($FF13,$EU$11:$EU$32,0)+10,IF(AND(COUNTIF($EU$11:$EU$32,$FF13)&gt;=2,COUNTIF(INDIRECT("FJ$"&amp;MATCH($FF13,$FF$11:$FF13,0)+10):FJ12,"&gt;0")&lt;COUNTIF($EU$11:$EU$32,$FF13)),MATCH($FF13,INDIRECT("EU"&amp;FJ12+1):$EU$34,0)+FJ12,0)))</f>
        <v>#NUM!</v>
      </c>
      <c r="FK13" s="61" t="e">
        <f t="shared" si="63"/>
        <v>#NUM!</v>
      </c>
      <c r="FL13" s="842">
        <f t="shared" si="38"/>
      </c>
      <c r="FM13" s="842">
        <f t="shared" si="39"/>
      </c>
      <c r="FN13" s="842">
        <f t="shared" si="40"/>
      </c>
      <c r="FO13" s="842">
        <f t="shared" si="41"/>
      </c>
      <c r="FP13" s="255" t="e">
        <f t="shared" si="64"/>
        <v>#NUM!</v>
      </c>
      <c r="FQ13" s="917" t="e">
        <f ca="1">IF(AND(RIGHT(FK12,2)="31",COUNTA($FQ$11:FQ12)-COUNTIF($FQ$11:FQ12,"")=0),ADDRESS(31,COLUMN(INDIRECT(FK12))-1,4),"")</f>
        <v>#NUM!</v>
      </c>
      <c r="FR13" s="917" t="e">
        <f t="shared" si="42"/>
        <v>#NUM!</v>
      </c>
      <c r="FS13" s="917" t="e">
        <f>IF(FQ13&lt;&gt;"",FQ13,IF(FP13="","",IF(COUNTA($FQ$11:FQ12)-COUNTIF($FQ$11:FQ12,"")&lt;&gt;1,VLOOKUP(FP13,$FD$11:$FK$23,8,FALSE),VLOOKUP(FP13-1,$FE$11:$FK$23,7,FALSE))))</f>
        <v>#NUM!</v>
      </c>
      <c r="FT13" s="938" t="e">
        <f>IF(AND($FR$26&gt;MAX($FP$11:$FP$22),FP13=$FR$26-2,$FR$26-1=MAX($FP$11:$FP$22)),"",IF(AND(FS13&lt;&gt;"",ISNA(MATCH(FS13,$FT$11:FT12,0))=FALSE),FK13,FS13))</f>
        <v>#NUM!</v>
      </c>
      <c r="FU13" s="255"/>
      <c r="FV13" s="672"/>
      <c r="FW13" s="259">
        <f>IF($D13="","",$D13)</f>
      </c>
      <c r="FX13" s="260">
        <f>IF($E13="","",$E13)</f>
      </c>
      <c r="FY13" s="259"/>
      <c r="FZ13" s="260"/>
      <c r="GA13" s="345">
        <f t="shared" si="43"/>
      </c>
      <c r="GB13" s="345">
        <f t="shared" si="43"/>
      </c>
      <c r="GC13" s="345">
        <f t="shared" si="43"/>
      </c>
      <c r="GD13" s="345">
        <f t="shared" si="43"/>
      </c>
      <c r="GE13" s="50">
        <f>IF(FW13="","",COUNTA(GA13:GD13)-COUNTIF(GA13:GD13,""))</f>
      </c>
      <c r="GF13" s="69">
        <f t="shared" si="44"/>
      </c>
      <c r="GG13" s="70">
        <f t="shared" si="45"/>
      </c>
      <c r="GH13" s="39"/>
      <c r="GI13" s="380"/>
      <c r="GJ13" s="380"/>
      <c r="GK13" s="71">
        <f t="shared" si="46"/>
        <v>0</v>
      </c>
      <c r="GL13" s="71" t="str">
        <f t="shared" si="47"/>
        <v>0</v>
      </c>
      <c r="GM13" s="71"/>
      <c r="GN13" s="71">
        <f t="shared" si="48"/>
      </c>
      <c r="GO13" s="71">
        <v>3</v>
      </c>
      <c r="GP13" s="71">
        <f t="shared" si="49"/>
      </c>
      <c r="GQ13" s="61">
        <f ca="1">IF(OR($GP13="",ISERROR(MATCH($GP13,$FL$11:$FL$32,0))=TRUE),0,IF(OR(AND(COUNTIF($FL$11:$FL$32,$GP13)=1,ISNA(MATCH(MATCH($GP13,$FL$11:$FL$32,0)+10,GQ$11:GQ12,0)=TRUE)),AND(COUNTIF($FL$11:$FL$32,$GP13)&gt;=2,$GP12&lt;&gt;$GP13)),MATCH($GP13,$FL$11:$FL$32,0)+10,IF(AND(COUNTIF($FL$11:$FL$32,$GP13)&gt;=2,COUNTIF(INDIRECT("GQ$"&amp;MATCH($GP13,$GP$11:$GP13,0)+10):GQ12,"&gt;0")&lt;COUNTIF($FL$11:$FL$32,$GP13)),MATCH($GP13,INDIRECT("FL"&amp;GQ12+1):$FL$34,0)+GQ12,0)))</f>
        <v>0</v>
      </c>
      <c r="GR13" s="61">
        <f ca="1">IF(OR($GP13="",GQ13&lt;&gt;0,ISERROR(MATCH($GP13,$FM$11:$FM$32,0))=TRUE),0,IF(OR(AND(COUNTIF($FM$11:$FM$32,$GP13)=1,ISNA(MATCH(MATCH($GP13,$FM$11:$FM$32,0)+10,GR$11:GR12,0)=TRUE)),AND(COUNTIF($FM$11:$FM$32,$GP13)&gt;=2,$GP12&lt;&gt;$GP13)),MATCH($GP13,$FM$11:$FM$32,0)+10,IF(AND(COUNTIF($FM$11:$FM$32,$GP13)&gt;=2,COUNTIF(INDIRECT("GR$"&amp;MATCH($GP13,$GP$11:$GP13,0)+10):GR12,"&gt;0")&lt;COUNTIF($FM$11:$FM$32,$GP13)),MATCH($GP13,INDIRECT("FM"&amp;GR12+1):$FM$34,0)+GR12,0)))</f>
        <v>0</v>
      </c>
      <c r="GS13" s="61">
        <f ca="1">IF(OR($GP13="",GQ13&lt;&gt;0,GR13&lt;&gt;0,ISERROR(MATCH($GP13,$FN$11:$FN$32,0))=TRUE),0,IF(OR(AND(COUNTIF($FN$11:$FN$32,$GP13)=1,ISNA(MATCH(MATCH($GP13,$FN$11:$FN$32,0)+10,GS$11:GS12,0)=TRUE)),AND(COUNTIF($FN$11:$FN$32,$GP13)&gt;=2,$GP12&lt;&gt;$GP13)),MATCH($GP13,$FN$11:$FN$32,0)+10,IF(AND(COUNTIF($FN$11:$FN$32,$GP13)&gt;=2,COUNTIF(INDIRECT("GS$"&amp;MATCH($GP13,$GP$11:$GP13,0)+10):GS12,"&gt;0")&lt;COUNTIF($FN$11:$FN$32,$GP13)),MATCH($GP13,INDIRECT("FN"&amp;GS12+1):$GS$34,0)+GS12,0)))</f>
        <v>0</v>
      </c>
      <c r="GT13" s="61">
        <f ca="1">IF(OR($GP13="",GQ13&lt;&gt;0,GR13&lt;&gt;0,GS13&lt;&gt;0,ISERROR(MATCH($GP13,$FO$11:$FO$32,0))=TRUE),0,IF(OR(AND(COUNTIF($FO$11:$FO$32,$GP13)=1,ISNA(MATCH(MATCH($GP13,$FO$11:$FO$32,0)+10,GT$11:GT12,0)=TRUE)),AND(COUNTIF($FO$11:$FO$32,$GP13)&gt;=2,$GP12&lt;&gt;$GP13)),MATCH($GP13,$FO$11:$FO$32,0)+10,IF(AND(COUNTIF($FO$11:$FO$32,$GP13)&gt;=2,COUNTIF(INDIRECT("GT$"&amp;MATCH($GP13,$GP$11:$GP13,0)+10):GT12,"&gt;0")&lt;COUNTIF($FO$11:$FO$32,$GP13)),MATCH($GP13,INDIRECT("FO"&amp;GT12+1):$FO$34,0)+GT12,0)))</f>
        <v>0</v>
      </c>
      <c r="GU13" s="61">
        <f t="shared" si="50"/>
      </c>
      <c r="GV13" s="1065">
        <f t="shared" si="51"/>
      </c>
      <c r="GW13" s="1065">
        <f t="shared" si="52"/>
      </c>
      <c r="GX13" s="1065">
        <f t="shared" si="53"/>
      </c>
      <c r="GY13" s="1065">
        <f t="shared" si="54"/>
      </c>
      <c r="GZ13" s="393"/>
      <c r="HA13" s="324"/>
      <c r="HB13" s="672"/>
      <c r="HC13" s="259">
        <f>IF($D13="","",$D13)</f>
      </c>
      <c r="HD13" s="260">
        <f>IF($E13="","",$E13)</f>
      </c>
      <c r="HE13" s="259"/>
      <c r="HF13" s="260"/>
      <c r="HG13" s="345">
        <f t="shared" si="55"/>
      </c>
      <c r="HH13" s="345">
        <f t="shared" si="55"/>
      </c>
      <c r="HI13" s="345">
        <f t="shared" si="55"/>
      </c>
      <c r="HJ13" s="345">
        <f t="shared" si="55"/>
      </c>
      <c r="HK13" s="50">
        <f>IF(HC13="","",COUNTA(HG13:HJ13)-COUNTIF(HG13:HJ13,""))</f>
      </c>
      <c r="HL13" s="69">
        <f t="shared" si="56"/>
      </c>
      <c r="HM13" s="70">
        <f t="shared" si="57"/>
      </c>
      <c r="HN13" s="39"/>
      <c r="HO13" s="380"/>
      <c r="HP13" s="380"/>
      <c r="HQ13" s="71">
        <f t="shared" si="58"/>
        <v>0</v>
      </c>
      <c r="HR13" s="71" t="str">
        <f t="shared" si="59"/>
        <v>0</v>
      </c>
    </row>
    <row r="14" spans="1:226" ht="15" customHeight="1">
      <c r="A14" s="858">
        <f>IF(COUNT(A11:A13)=0,"",VALUE(A11&amp;A12&amp;A13))</f>
      </c>
      <c r="B14" s="858">
        <f>IF(COUNT(B11:B13)=0,"",VALUE(B11&amp;B12&amp;B13))</f>
        <v>13</v>
      </c>
      <c r="C14" s="418">
        <f>IF(COUNT(C11:C13)=0,"",VALUE(C11&amp;C12&amp;C13))</f>
      </c>
      <c r="D14" s="815">
        <f>IF(Zulassung!D13="","",Zulassung!D13)</f>
      </c>
      <c r="E14" s="816">
        <f>IF(Zulassung!E13="","",Zulassung!E13)</f>
      </c>
      <c r="F14" s="517"/>
      <c r="G14" s="518"/>
      <c r="H14" s="553">
        <f>IF(Zulassung!H13="","",Zulassung!H13)</f>
      </c>
      <c r="I14" s="554">
        <f>IF(Zulassung!I13="","",Zulassung!I13)</f>
      </c>
      <c r="J14" s="554">
        <f>IF(Zulassung!J13="","",Zulassung!J13)</f>
      </c>
      <c r="K14" s="555">
        <f>IF(Zulassung!K13="","",Zulassung!K13)</f>
      </c>
      <c r="L14" s="385">
        <f t="shared" si="0"/>
      </c>
      <c r="O14" s="681"/>
      <c r="P14" s="255"/>
      <c r="Q14" s="1532"/>
      <c r="R14" s="1532"/>
      <c r="S14" s="380"/>
      <c r="T14" s="842">
        <f t="shared" si="60"/>
        <v>0</v>
      </c>
      <c r="U14" s="842" t="str">
        <f t="shared" si="2"/>
        <v>0</v>
      </c>
      <c r="V14" s="842">
        <f t="shared" si="3"/>
        <v>0</v>
      </c>
      <c r="W14" s="842">
        <f t="shared" si="4"/>
        <v>0</v>
      </c>
      <c r="Z14" s="255" t="s">
        <v>218</v>
      </c>
      <c r="AA14" s="275"/>
      <c r="AB14" s="275"/>
      <c r="AC14" s="275"/>
      <c r="AD14" s="275"/>
      <c r="AE14" s="276"/>
      <c r="AF14" s="276"/>
      <c r="AG14" s="276"/>
      <c r="AH14" s="276"/>
      <c r="AI14" s="276"/>
      <c r="AJ14" s="276"/>
      <c r="AK14" s="275"/>
      <c r="AL14" s="275"/>
      <c r="AM14" s="275"/>
      <c r="AN14" s="973"/>
      <c r="AO14" s="969" t="s">
        <v>446</v>
      </c>
      <c r="AP14" s="277"/>
      <c r="AQ14" s="277"/>
      <c r="AR14" s="277"/>
      <c r="AS14" s="277"/>
      <c r="AT14" s="277"/>
      <c r="AU14" s="277"/>
      <c r="AV14" s="277"/>
      <c r="AW14" s="277"/>
      <c r="AX14" s="277"/>
      <c r="AY14" s="275"/>
      <c r="AZ14" s="275"/>
      <c r="BA14" s="275"/>
      <c r="BB14" s="275"/>
      <c r="BC14" s="275" t="s">
        <v>448</v>
      </c>
      <c r="BD14" s="277"/>
      <c r="BE14" s="277"/>
      <c r="BF14" s="277"/>
      <c r="BG14" s="277" t="s">
        <v>219</v>
      </c>
      <c r="BH14" s="277"/>
      <c r="BI14" s="277"/>
      <c r="BJ14" s="277"/>
      <c r="BK14" s="275"/>
      <c r="BL14" s="400"/>
      <c r="BM14" s="644"/>
      <c r="BN14" s="644"/>
      <c r="BO14" s="644"/>
      <c r="BP14" s="644"/>
      <c r="BQ14" s="274"/>
      <c r="BR14" s="567">
        <f t="shared" si="5"/>
        <v>0</v>
      </c>
      <c r="BS14" s="567">
        <f t="shared" si="62"/>
        <v>0</v>
      </c>
      <c r="BT14" s="644"/>
      <c r="BU14" s="644"/>
      <c r="BV14" s="644"/>
      <c r="BW14" s="644"/>
      <c r="BX14" s="322"/>
      <c r="BY14" s="1072">
        <f t="shared" si="8"/>
      </c>
      <c r="BZ14" s="393"/>
      <c r="CA14" s="842">
        <f t="shared" si="9"/>
      </c>
      <c r="CB14" s="842">
        <f t="shared" si="10"/>
      </c>
      <c r="CC14" s="842">
        <f t="shared" si="11"/>
      </c>
      <c r="CD14" s="842">
        <f t="shared" si="12"/>
      </c>
      <c r="CE14" s="919"/>
      <c r="CF14" s="1033">
        <f t="shared" si="13"/>
      </c>
      <c r="CG14" s="1033">
        <f t="shared" si="14"/>
      </c>
      <c r="CH14" s="1033">
        <f t="shared" si="15"/>
      </c>
      <c r="CI14" s="1033">
        <f t="shared" si="16"/>
      </c>
      <c r="CJ14" s="393"/>
      <c r="CK14" s="919"/>
      <c r="CL14" s="393"/>
      <c r="CM14" s="684"/>
      <c r="CN14" s="672"/>
      <c r="CO14" s="261" t="str">
        <f t="shared" si="17"/>
        <v>(L)</v>
      </c>
      <c r="CP14" s="262">
        <f t="shared" si="18"/>
      </c>
      <c r="CQ14" s="261"/>
      <c r="CR14" s="262"/>
      <c r="CS14" s="408">
        <f>""</f>
      </c>
      <c r="CT14" s="409">
        <f>""</f>
      </c>
      <c r="CU14" s="409">
        <f>""</f>
      </c>
      <c r="CV14" s="860">
        <f>""</f>
      </c>
      <c r="CW14" s="861">
        <f>IF($EV14="","",COUNT(#REF!))</f>
      </c>
      <c r="CX14" s="420">
        <f t="shared" si="20"/>
        <v>0</v>
      </c>
      <c r="CY14" s="494">
        <f t="shared" si="21"/>
      </c>
      <c r="CZ14" s="39"/>
      <c r="DA14" s="380"/>
      <c r="DB14" s="380"/>
      <c r="DC14" s="380"/>
      <c r="DD14" s="33"/>
      <c r="DE14" s="71">
        <f t="shared" si="22"/>
        <v>0</v>
      </c>
      <c r="DF14" s="71" t="str">
        <f t="shared" si="23"/>
        <v>0</v>
      </c>
      <c r="DG14" s="393"/>
      <c r="DH14" s="393"/>
      <c r="DI14" s="919"/>
      <c r="DJ14" s="393"/>
      <c r="DK14" s="329"/>
      <c r="DL14" s="329"/>
      <c r="DM14" s="329"/>
      <c r="DN14" s="329"/>
      <c r="DO14" s="919"/>
      <c r="DP14" s="393"/>
      <c r="DQ14" s="684"/>
      <c r="DR14" s="672"/>
      <c r="DS14" s="261" t="str">
        <f t="shared" si="25"/>
        <v>(L)</v>
      </c>
      <c r="DT14" s="262">
        <f t="shared" si="26"/>
      </c>
      <c r="DU14" s="261"/>
      <c r="DV14" s="262"/>
      <c r="DW14" s="408">
        <f>IF(DK14="",CS14,DK14)</f>
      </c>
      <c r="DX14" s="409">
        <f>IF(DL14="",CT14,DL14)</f>
      </c>
      <c r="DY14" s="409">
        <f>IF(DM14="",CU14,DM14)</f>
      </c>
      <c r="DZ14" s="860">
        <f>IF(DN14="",CV14,DN14)</f>
      </c>
      <c r="EA14" s="861">
        <f>IF($EV14="","",COUNT(#REF!))</f>
      </c>
      <c r="EB14" s="420">
        <f t="shared" si="28"/>
        <v>0</v>
      </c>
      <c r="EC14" s="494">
        <f t="shared" si="29"/>
      </c>
      <c r="ED14" s="39"/>
      <c r="EE14" s="380"/>
      <c r="EF14" s="380"/>
      <c r="EG14" s="71">
        <f t="shared" si="30"/>
        <v>0</v>
      </c>
      <c r="EH14" s="71" t="str">
        <f t="shared" si="31"/>
        <v>0</v>
      </c>
      <c r="EI14" s="393"/>
      <c r="EJ14" s="393"/>
      <c r="EK14" s="393"/>
      <c r="EL14" s="393"/>
      <c r="EM14" s="393"/>
      <c r="EN14" s="568"/>
      <c r="EO14" s="275"/>
      <c r="EP14" s="275"/>
      <c r="EQ14" s="321"/>
      <c r="ER14" s="321"/>
      <c r="ES14" s="391">
        <f t="shared" si="34"/>
        <v>0</v>
      </c>
      <c r="ET14" s="391"/>
      <c r="EU14" s="672"/>
      <c r="EV14" s="672"/>
      <c r="EW14" s="685"/>
      <c r="EX14" s="685"/>
      <c r="EY14" s="685"/>
      <c r="EZ14" s="579"/>
      <c r="FA14" s="962">
        <f t="shared" si="1"/>
        <v>0</v>
      </c>
      <c r="FB14" s="962">
        <f t="shared" si="36"/>
        <v>0</v>
      </c>
      <c r="FC14" s="684"/>
      <c r="FD14" s="33" t="e">
        <f>IF(FD13="","",IF(OR(COUNT($EO$10:$ER$30)+FD13&lt;38,AND(MAX($FD$11:FD13)+$ET$37&lt;40,AND(ET40&lt;40,FF14&gt;EV40))),FD13+1,""))</f>
        <v>#NUM!</v>
      </c>
      <c r="FE14" s="248">
        <v>4</v>
      </c>
      <c r="FF14" s="33" t="e">
        <f t="shared" si="37"/>
        <v>#NUM!</v>
      </c>
      <c r="FG14" s="33" t="e">
        <f ca="1">IF(OR($FF14="",ISERROR(MATCH($FF14,EX$11:EX$32,0))=TRUE),0,IF(OR(AND(COUNTIF(EX$11:EX$32,$FF14)=1,ISNA(MATCH(MATCH($FF14,EX$11:EX$32,0)+10,FG$11:FG13,0)=TRUE)),AND(COUNTIF(EX$11:EX$32,$FF14)&gt;=2,$FF13&lt;&gt;$FF14)),MATCH($FF14,EX$11:EX$32,0)+10,IF(AND(COUNTIF(EX$11:EX$32,$FF14)&gt;=2,COUNTIF(INDIRECT("FG$"&amp;MATCH($FF14,$FF$11:$FF14,0)+10):FG13,"&gt;0")&lt;COUNTIF(EX$11:EX$32,$FF14)),MATCH($FF14,INDIRECT("EX"&amp;FG13+1):$EX$34,0)+FG13,0)))</f>
        <v>#NUM!</v>
      </c>
      <c r="FH14" s="33" t="e">
        <f ca="1">IF(OR($FF14="",FG14&lt;&gt;0,ISERROR(MATCH($FF14,$EW$11:$EW$32,0))=TRUE),0,IF(OR(AND(COUNTIF($EW$11:$EW$32,$FF14)=1,ISNA(MATCH(MATCH($FF14,$EW$11:$EW$32,0)+10,FH$11:FH13,0)=TRUE)),AND(COUNTIF($EW$11:$EW$32,$FF14)&gt;=2,$FF13&lt;&gt;$FF14)),MATCH($FF14,$EW$11:$EW$32,0)+10,IF(AND(COUNTIF($EW$11:$EW$32,$FF14)&gt;=2,COUNTIF(INDIRECT("FH$"&amp;MATCH($FF14,$FF$11:$FF14,0)+10):FH13,"&gt;0")&lt;COUNTIF($EW$11:$EW$32,$FF14)),MATCH($FF14,INDIRECT("EW"&amp;FH13+1):$EW$34,0)+FH13,0)))</f>
        <v>#NUM!</v>
      </c>
      <c r="FI14" s="33" t="e">
        <f ca="1">IF(OR($FF14="",FG14&lt;&gt;0,FH14&lt;&gt;0,ISERROR(MATCH($FF14,EV$11:EV$32,0))=TRUE),0,IF(OR(AND(COUNTIF(EV$11:EV$32,$FF14)=1,ISNA(MATCH(MATCH($FF14,EV$11:EV$32,0)+10,FI$11:FI13,0)=TRUE)),AND(COUNTIF(EV$11:EV$32,$FF14)&gt;=2,$FF13&lt;&gt;$FF14)),MATCH($FF14,EV$11:EV$32,0)+10,IF(AND(COUNTIF(EV$11:EV$32,$FF14)&gt;=2,COUNTIF(INDIRECT("FI$"&amp;MATCH($FF14,$FF$11:$FF14,0)+10):FI13,"&gt;0")&lt;COUNTIF(EV$11:EV$32,$FF14)),MATCH($FF14,INDIRECT("EV"&amp;FI13+1):$EV$34,0)+FI13,0)))</f>
        <v>#NUM!</v>
      </c>
      <c r="FJ14" s="33" t="e">
        <f ca="1">IF(OR($FF14="",FG14&lt;&gt;0,FH14&lt;&gt;0,FI14&lt;&gt;0,ISERROR(MATCH($FF14,$EU$11:$EU$32,0))=TRUE),0,IF(OR(AND(COUNTIF($EU$11:$EU$32,$FF14)=1,ISNA(MATCH(MATCH($FF14,$EU$11:$EU$32,0)+10,FJ$11:FJ13,0)=TRUE)),AND(COUNTIF($EU$11:$EU$32,$FF14)&gt;=2,$FF13&lt;&gt;$FF14)),MATCH($FF14,$EU$11:$EU$32,0)+10,IF(AND(COUNTIF($EU$11:$EU$32,$FF14)&gt;=2,COUNTIF(INDIRECT("FJ$"&amp;MATCH($FF14,$FF$11:$FF14,0)+10):FJ13,"&gt;0")&lt;COUNTIF($EU$11:$EU$32,$FF14)),MATCH($FF14,INDIRECT("EU"&amp;FJ13+1):$EU$34,0)+FJ13,0)))</f>
        <v>#NUM!</v>
      </c>
      <c r="FK14" s="61" t="e">
        <f t="shared" si="63"/>
        <v>#NUM!</v>
      </c>
      <c r="FL14" s="842">
        <f t="shared" si="38"/>
      </c>
      <c r="FM14" s="842">
        <f t="shared" si="39"/>
      </c>
      <c r="FN14" s="842">
        <f t="shared" si="40"/>
      </c>
      <c r="FO14" s="842">
        <f t="shared" si="41"/>
      </c>
      <c r="FP14" s="255" t="e">
        <f t="shared" si="64"/>
        <v>#NUM!</v>
      </c>
      <c r="FQ14" s="917" t="e">
        <f ca="1">IF(AND(RIGHT(FK13,2)="31",COUNTA($FQ$11:FQ13)-COUNTIF($FQ$11:FQ13,"")=0),ADDRESS(31,COLUMN(INDIRECT(FK13))-1,4),"")</f>
        <v>#NUM!</v>
      </c>
      <c r="FR14" s="917" t="e">
        <f t="shared" si="42"/>
        <v>#NUM!</v>
      </c>
      <c r="FS14" s="917" t="e">
        <f>IF(FQ14&lt;&gt;"",FQ14,IF(FP14="","",IF(COUNTA($FQ$11:FQ13)-COUNTIF($FQ$11:FQ13,"")&lt;&gt;1,VLOOKUP(FP14,$FD$11:$FK$23,8,FALSE),VLOOKUP(FP14-1,$FE$11:$FK$23,7,FALSE))))</f>
        <v>#NUM!</v>
      </c>
      <c r="FT14" s="938" t="e">
        <f>IF(AND($FR$26&gt;MAX($FP$11:$FP$22),FP14=$FR$26-2,$FR$26-1=MAX($FP$11:$FP$22)),"",IF(AND(FS14&lt;&gt;"",ISNA(MATCH(FS14,$FT$11:FT13,0))=FALSE),FK14,FS14))</f>
        <v>#NUM!</v>
      </c>
      <c r="FU14" s="255"/>
      <c r="FV14" s="672"/>
      <c r="FW14" s="261">
        <f>IF(D14="","",D14)</f>
      </c>
      <c r="FX14" s="262">
        <f>IF(E14="","",E14)</f>
      </c>
      <c r="FY14" s="261"/>
      <c r="FZ14" s="262"/>
      <c r="GA14" s="408">
        <f>""</f>
      </c>
      <c r="GB14" s="409">
        <f>""</f>
      </c>
      <c r="GC14" s="409">
        <f>""</f>
      </c>
      <c r="GD14" s="860">
        <f>""</f>
      </c>
      <c r="GE14" s="861">
        <f>IF($EV14="","",COUNT(#REF!))</f>
      </c>
      <c r="GF14" s="420">
        <f t="shared" si="44"/>
      </c>
      <c r="GG14" s="494">
        <f t="shared" si="45"/>
      </c>
      <c r="GH14" s="39"/>
      <c r="GI14" s="380"/>
      <c r="GJ14" s="380"/>
      <c r="GK14" s="71">
        <f t="shared" si="46"/>
        <v>0</v>
      </c>
      <c r="GL14" s="71" t="str">
        <f t="shared" si="47"/>
        <v>0</v>
      </c>
      <c r="GM14" s="71"/>
      <c r="GN14" s="71">
        <f t="shared" si="48"/>
      </c>
      <c r="GO14" s="71">
        <v>4</v>
      </c>
      <c r="GP14" s="71">
        <f t="shared" si="49"/>
      </c>
      <c r="GQ14" s="61">
        <f ca="1">IF(OR($GP14="",ISERROR(MATCH($GP14,$FL$11:$FL$32,0))=TRUE),0,IF(OR(AND(COUNTIF($FL$11:$FL$32,$GP14)=1,ISNA(MATCH(MATCH($GP14,$FL$11:$FL$32,0)+10,GQ$11:GQ13,0)=TRUE)),AND(COUNTIF($FL$11:$FL$32,$GP14)&gt;=2,$GP13&lt;&gt;$GP14)),MATCH($GP14,$FL$11:$FL$32,0)+10,IF(AND(COUNTIF($FL$11:$FL$32,$GP14)&gt;=2,COUNTIF(INDIRECT("GQ$"&amp;MATCH($GP14,$GP$11:$GP14,0)+10):GQ13,"&gt;0")&lt;COUNTIF($FL$11:$FL$32,$GP14)),MATCH($GP14,INDIRECT("FL"&amp;GQ13+1):$FL$34,0)+GQ13,0)))</f>
        <v>0</v>
      </c>
      <c r="GR14" s="61">
        <f ca="1">IF(OR($GP14="",GQ14&lt;&gt;0,ISERROR(MATCH($GP14,$FM$11:$FM$32,0))=TRUE),0,IF(OR(AND(COUNTIF($FM$11:$FM$32,$GP14)=1,ISNA(MATCH(MATCH($GP14,$FM$11:$FM$32,0)+10,GR$11:GR13,0)=TRUE)),AND(COUNTIF($FM$11:$FM$32,$GP14)&gt;=2,$GP13&lt;&gt;$GP14)),MATCH($GP14,$FM$11:$FM$32,0)+10,IF(AND(COUNTIF($FM$11:$FM$32,$GP14)&gt;=2,COUNTIF(INDIRECT("GR$"&amp;MATCH($GP14,$GP$11:$GP14,0)+10):GR13,"&gt;0")&lt;COUNTIF($FM$11:$FM$32,$GP14)),MATCH($GP14,INDIRECT("FM"&amp;GR13+1):$FM$34,0)+GR13,0)))</f>
        <v>0</v>
      </c>
      <c r="GS14" s="61">
        <f ca="1">IF(OR($GP14="",GQ14&lt;&gt;0,GR14&lt;&gt;0,ISERROR(MATCH($GP14,$FN$11:$FN$32,0))=TRUE),0,IF(OR(AND(COUNTIF($FN$11:$FN$32,$GP14)=1,ISNA(MATCH(MATCH($GP14,$FN$11:$FN$32,0)+10,GS$11:GS13,0)=TRUE)),AND(COUNTIF($FN$11:$FN$32,$GP14)&gt;=2,$GP13&lt;&gt;$GP14)),MATCH($GP14,$FN$11:$FN$32,0)+10,IF(AND(COUNTIF($FN$11:$FN$32,$GP14)&gt;=2,COUNTIF(INDIRECT("GS$"&amp;MATCH($GP14,$GP$11:$GP14,0)+10):GS13,"&gt;0")&lt;COUNTIF($FN$11:$FN$32,$GP14)),MATCH($GP14,INDIRECT("FN"&amp;GS13+1):$GS$34,0)+GS13,0)))</f>
        <v>0</v>
      </c>
      <c r="GT14" s="61">
        <f ca="1">IF(OR($GP14="",GQ14&lt;&gt;0,GR14&lt;&gt;0,GS14&lt;&gt;0,ISERROR(MATCH($GP14,$FO$11:$FO$32,0))=TRUE),0,IF(OR(AND(COUNTIF($FO$11:$FO$32,$GP14)=1,ISNA(MATCH(MATCH($GP14,$FO$11:$FO$32,0)+10,GT$11:GT13,0)=TRUE)),AND(COUNTIF($FO$11:$FO$32,$GP14)&gt;=2,$GP13&lt;&gt;$GP14)),MATCH($GP14,$FO$11:$FO$32,0)+10,IF(AND(COUNTIF($FO$11:$FO$32,$GP14)&gt;=2,COUNTIF(INDIRECT("GT$"&amp;MATCH($GP14,$GP$11:$GP14,0)+10):GT13,"&gt;0")&lt;COUNTIF($FO$11:$FO$32,$GP14)),MATCH($GP14,INDIRECT("FO"&amp;GT13+1):$FO$34,0)+GT13,0)))</f>
        <v>0</v>
      </c>
      <c r="GU14" s="61">
        <f t="shared" si="50"/>
      </c>
      <c r="GV14" s="1065">
        <f t="shared" si="51"/>
      </c>
      <c r="GW14" s="1065">
        <f t="shared" si="52"/>
      </c>
      <c r="GX14" s="1065">
        <f t="shared" si="53"/>
      </c>
      <c r="GY14" s="1065">
        <f t="shared" si="54"/>
      </c>
      <c r="GZ14" s="393"/>
      <c r="HA14" s="324"/>
      <c r="HB14" s="672"/>
      <c r="HC14" s="261">
        <f>IF(AC14="","",AC14)</f>
      </c>
      <c r="HD14" s="262">
        <f>IF(AD14="","",AD14)</f>
      </c>
      <c r="HE14" s="261"/>
      <c r="HF14" s="262"/>
      <c r="HG14" s="408">
        <f>""</f>
      </c>
      <c r="HH14" s="409">
        <f>""</f>
      </c>
      <c r="HI14" s="409">
        <f>""</f>
      </c>
      <c r="HJ14" s="860">
        <f>""</f>
      </c>
      <c r="HK14" s="861">
        <f>IF($EV14="","",COUNT(#REF!))</f>
      </c>
      <c r="HL14" s="420">
        <f t="shared" si="56"/>
      </c>
      <c r="HM14" s="494">
        <f t="shared" si="57"/>
      </c>
      <c r="HN14" s="39"/>
      <c r="HO14" s="380"/>
      <c r="HP14" s="380"/>
      <c r="HQ14" s="71">
        <f t="shared" si="58"/>
        <v>0</v>
      </c>
      <c r="HR14" s="71" t="str">
        <f t="shared" si="59"/>
        <v>0</v>
      </c>
    </row>
    <row r="15" spans="3:226" ht="15" customHeight="1">
      <c r="C15" s="848"/>
      <c r="D15" s="337" t="str">
        <f>IF(Zulassung!D14="","",Zulassung!D14)</f>
        <v>KU</v>
      </c>
      <c r="E15" s="514">
        <f>IF(Zulassung!E14="","",Zulassung!E14)</f>
      </c>
      <c r="F15" s="515">
        <f>IF(Zulassung!F14="","",Zulassung!F14)</f>
        <v>3</v>
      </c>
      <c r="G15" s="516">
        <f>IF(Zulassung!G14="","",Zulassung!G14)</f>
        <v>3</v>
      </c>
      <c r="H15" s="827">
        <f>IF(Zulassung!H14="","",Zulassung!H14)</f>
      </c>
      <c r="I15" s="556">
        <f>IF(Zulassung!I14="","",Zulassung!I14)</f>
      </c>
      <c r="J15" s="556">
        <f>IF(Zulassung!J14="","",Zulassung!J14)</f>
      </c>
      <c r="K15" s="557">
        <f>IF(Zulassung!K14="","",Zulassung!K14)</f>
      </c>
      <c r="L15" s="371">
        <f t="shared" si="0"/>
        <v>0</v>
      </c>
      <c r="O15" s="681"/>
      <c r="P15" s="255"/>
      <c r="Q15" s="1392"/>
      <c r="R15" s="1392"/>
      <c r="S15" s="380"/>
      <c r="T15" s="842">
        <f t="shared" si="60"/>
        <v>0</v>
      </c>
      <c r="U15" s="842" t="str">
        <f t="shared" si="2"/>
        <v>0</v>
      </c>
      <c r="V15" s="842">
        <f t="shared" si="3"/>
        <v>0</v>
      </c>
      <c r="W15" s="842">
        <f t="shared" si="4"/>
        <v>0</v>
      </c>
      <c r="Z15" s="842" t="str">
        <f t="shared" si="61"/>
        <v>KU</v>
      </c>
      <c r="AA15" s="842">
        <f>IF(OR(AND(OR(Z15="KU",Z15="MU"),Zulassung!G14="",COUNT(H15:K15)&gt;0),AND(Z15="",MAX(I15:K15)&gt;0),AND(Z15="",MAX(J15:K15)&gt;0),AND(Z15="",K15&lt;&gt;"")),1,0)</f>
        <v>0</v>
      </c>
      <c r="AB15" s="842">
        <f>IF(OR(L15=0,L15=""),0,L15)</f>
        <v>0</v>
      </c>
      <c r="AC15" s="842">
        <v>2</v>
      </c>
      <c r="AD15" s="842" t="str">
        <f>IF(Z15="","",IF(OR(AB15&gt;=$AC$15,AB16&gt;=$AC$15,AB17&gt;=$AC$15),"W","F"))</f>
        <v>F</v>
      </c>
      <c r="AE15" s="842">
        <f aca="true" t="shared" si="65" ref="AE15:AE21">SUM(H15:K15)</f>
        <v>0</v>
      </c>
      <c r="AF15" s="842">
        <f>SUM(H15:I15)</f>
        <v>0</v>
      </c>
      <c r="AG15" s="842"/>
      <c r="AH15" s="842">
        <f aca="true" t="shared" si="66" ref="AH15:AH21">IF(COUNT(H15:K15)=0,"",MIN(H15:K15))</f>
      </c>
      <c r="AI15" s="842">
        <f>IF(COUNT(H15:I15)=0,"",MIN(H15:I15))</f>
      </c>
      <c r="AJ15" s="289">
        <f aca="true" t="shared" si="67" ref="AJ15:AJ21">IF(E15="","",Z15)</f>
      </c>
      <c r="AK15" s="842">
        <f>IF(AB15&gt;=2,Z15,"")</f>
      </c>
      <c r="AL15" s="248"/>
      <c r="AM15" s="842" t="str">
        <f>IF(BK15=MAX(BK15:BK17),Z15,"")</f>
        <v>KU</v>
      </c>
      <c r="AN15" s="248" t="str">
        <f>Z11</f>
        <v>E</v>
      </c>
      <c r="AO15" s="966"/>
      <c r="AP15" s="937">
        <f ca="1">IF(OR($D11="",$D12="",AS$10=""),"",COUNTIF($CS$11:$CV$11,"&lt;5")+COUNTIF($CU$12:$CV$12,"&lt;5")+COUNTIF(INDIRECT("CU"&amp;MATCH(AS$10,$D$25:$D$27,0)+23&amp;":CV"&amp;MATCH(AS$10,$D$25:$D$27,0)+23),"&lt;5"))</f>
        <v>0</v>
      </c>
      <c r="AQ15" s="937">
        <f ca="1">IF(OR($D11="",$D13="",AS$10=""),"",COUNTIF($CS$11:$CV$11,"&lt;5")+COUNTIF($CU$13:$CV$13,"&lt;5")+COUNTIF(INDIRECT("CU"&amp;MATCH(AS$10,$D$25:$D$27,0)+23&amp;":CV"&amp;MATCH(AS$10,$D$25:$D$27,0)+23),"&lt;5"))</f>
      </c>
      <c r="AR15" s="61"/>
      <c r="AS15" s="61"/>
      <c r="AT15" s="966"/>
      <c r="AU15" s="1029">
        <f ca="1">IF(OR($D11="",$D12="",AX$10=""),"",COUNTIF($CS$11:$CV$11,"&lt;5")+COUNTIF($CU$12:$CV$12,"&lt;5")+COUNTIF(INDIRECT("CU"&amp;MATCH(AX$10,$D$25:$D$27,0)+23&amp;":CV"&amp;MATCH(AX$10,$D$25:$D$27,0)+23),"&lt;5"))</f>
      </c>
      <c r="AV15" s="1029">
        <f ca="1">IF(OR($D11="",$D13="",AX$10=""),"",COUNTIF($CS$11:$CV$11,"&lt;5")+COUNTIF($CU$13:$CV$13,"&lt;5")+COUNTIF(INDIRECT("CU"&amp;MATCH(AX$10,$D$25:$D$27,0)+23&amp;":CV"&amp;MATCH(AX$10,$D$25:$D$27,0)+23),"&lt;5"))</f>
      </c>
      <c r="AW15" s="61"/>
      <c r="AX15" s="61"/>
      <c r="AY15" s="966"/>
      <c r="AZ15" s="1029">
        <f ca="1">IF(OR($D11="",$D12="",BC$10=""),"",COUNTIF($CS$11:$CV$11,"&lt;5")+COUNTIF($CU$12:$CV$12,"&lt;5")+COUNTIF(INDIRECT("CU"&amp;MATCH(BC$10,$D$25:$D$27,0)+23&amp;":CV"&amp;MATCH(BC$10,$D$25:$D$27,0)+23),"&lt;5"))</f>
      </c>
      <c r="BA15" s="1029">
        <f ca="1">IF(OR($D11="",$D13="",BC$10=""),"",COUNTIF($CS$11:$CV$11,"&lt;5")+COUNTIF($CU$13:$CV$13,"&lt;5")+COUNTIF(INDIRECT("CU"&amp;MATCH(BC$10,$D$25:$D$27,0)+23&amp;":CV"&amp;MATCH(BC$10,$D$25:$D$27,0)+23),"&lt;5"))</f>
      </c>
      <c r="BB15" s="248"/>
      <c r="BC15" s="972">
        <f>COUNTIF(H11:K11,"&lt;5")</f>
        <v>0</v>
      </c>
      <c r="BD15" s="842" t="s">
        <v>280</v>
      </c>
      <c r="BE15" s="842">
        <f>IF(COUNT(BE11:BE13)=1,TRIM(BE11&amp;BE12&amp;BE13),IF(BE11&lt;&gt;"",BE11,IF(BE12&lt;&gt;"",BE12,BE13)))</f>
      </c>
      <c r="BF15" s="61"/>
      <c r="BG15" s="842">
        <f>IF(OR(BH15="",BH15=0),"",MATCH(BH15,H15:K15,0))</f>
      </c>
      <c r="BH15" s="247">
        <f>IF(MAX(H15:K15)=0,"",MAX(H15:K15))</f>
      </c>
      <c r="BI15" s="842">
        <f aca="true" t="shared" si="68" ref="BI15:BI20">IF(OR(BJ15="",BJ15=0),"",IF(AND(MATCH(BJ15,H15:K15,0)=BG15,BG15&lt;&gt;2),MATCH(BJ15,H15:K15,1),IF(AND(MATCH(BJ15,H15:K15,0)=BG15,BG15=2),MATCH(BJ15,J15:K15,1)+2,MATCH(BJ15,H15:K15,0))))</f>
      </c>
      <c r="BJ15" s="247">
        <f>IF(BG15=1,MAX(I15:K15),IF(BG15=2,MAX(H15,J15,K15),IF(BG15=3,MAX(H15,I15,K15),IF(BG15=4,MAX(H15:J15),""))))</f>
      </c>
      <c r="BK15" s="410">
        <f>SUM(BH15,BJ15)</f>
        <v>0</v>
      </c>
      <c r="BL15" s="412">
        <f>IF(MIN(BH15,BJ15)=0,99,MIN(BH15,BJ15))</f>
        <v>99</v>
      </c>
      <c r="BM15" s="894">
        <f>IF($E15&lt;&gt;"",H15,IF(OR(H15="",$AM15=""),"",IF(OR(E15&lt;&gt;"",AND($BK15=$BK$13,OR(AND(COUNTIF($BK$15:$BK$17,$BK$13)=1,OR($BG15=BM$7,$BI15=BM$7)),AND(COUNTIF($BK$15:$BK$17,$BK$13)&gt;1,$BL15&gt;MIN($BL$15:$BL$17),OR($BG15=$BM$7,$BI15=$BM$7)),AND(COUNTIF($BK$15:$BK$17,$BK$13)&gt;1,COUNTIF($BL$15:$BL$17,$BL$13)&gt;1,$BL15=MIN($BL$15:$BL$17),OR($BG15=$BM$7,$BI15=$BM$7))))),H15,"")))</f>
      </c>
      <c r="BN15" s="842">
        <f>IF($E15&lt;&gt;"",I15,IF(OR(I15="",$AM15=""),"",IF(OR(E15&lt;&gt;"",AND($BK15=$BK$13,OR(AND(COUNTIF($BK$15:$BK$17,$BK$13)=1,OR($BG15=BN$7,$BI15=BN$7)),AND(COUNTIF($BK$15:$BK$17,$BK$13)&gt;1,$BL15&gt;MIN($BL$15:$BL$17),OR($BG15=$BM$7,$BI15=$BM$7)),AND(COUNTIF($BK$15:$BK$17,$BK$13)&gt;1,COUNTIF($BL$15:$BL$17,$BL$13)&gt;1,$BL15=MIN($BL$15:$BL$17),OR($BG15=$BM$7,$BI15=$BM$7))))),I15,"")))</f>
      </c>
      <c r="BO15" s="894">
        <f>IF($E15&lt;&gt;"",J15,IF(OR(J15="",$AM15=""),"",IF(OR(E15&lt;&gt;"",AND($BK15=$BK$13,OR(AND(COUNTIF($BK$15:$BK$17,$BK$13)=1,OR($BG15=$BO$7,$BI15=$BO$7)),AND(COUNTIF($BK$15:$BK$17,$BK$13)&gt;1,$BL15&gt;MIN($BL$15:$BL$17),OR($BG15=$BO$7,$BI15=$BO$7)),AND(COUNTIF($BK$15:$BK$17,$BK$13)&gt;1,COUNTIF($BL$15:$BL$17,$BL$13)&gt;1,$BL15=MIN($BL$15:$BL$17),OR($BG15=$BM$7,$BI15=$BM$7))))),J15,"")))</f>
      </c>
      <c r="BP15" s="894">
        <f>IF($E15&lt;&gt;"",K15,IF(OR(K15="",$AM15=""),"",IF(OR(E15&lt;&gt;"",AND($BK15=$BK$13,OR(AND(COUNTIF($BK$15:$BK$17,$BK$13)=1,OR($BG15=$BP$7,$BI15=$BP$7)),AND(COUNTIF($BK$15:$BK$17,$BK$13)&gt;1,$BL15&gt;MIN($BL$15:$BL$17),OR($BG15=$BP$7,$BI15=$BP$7)),AND(COUNTIF($BK$15:$BK$17,$BK$13)&gt;1,COUNTIF($BL$15:$BL$17,$BL$13)&gt;1,$BL15=MIN($BL$15:$BL$17),OR($BG15=$BM$7,$BI15=$BM$7))))),K15,"")))</f>
      </c>
      <c r="BQ15" s="247">
        <f aca="true" t="shared" si="69" ref="BQ15:BQ21">IF(OR(E15=1,E15=2),SUM(H15:K15),0)</f>
        <v>0</v>
      </c>
      <c r="BR15" s="567">
        <f t="shared" si="5"/>
        <v>0</v>
      </c>
      <c r="BS15" s="567">
        <f t="shared" si="62"/>
        <v>0</v>
      </c>
      <c r="BT15" s="894">
        <f aca="true" t="shared" si="70" ref="BT15:BW17">IF(OR(BM15&lt;&gt;"",H15="",$Z15="",AND(OR($Z15="IV",$Z15="IV CO"),COUNTIF($BM15:$BP15,"")=2),AND($Z15="LI",COUNTIF($BM15:$BP15,"")=2),AND(OR(TRIM($AM$15&amp;$AM$16&amp;$AM$17)="IV",TRIM($AM$15&amp;$AM$16&amp;$AM$17)="IV CO"),$Z15="Mu",$AB15=4,ADDRESS(ROW(BT15),COLUMN(BT15),4)=$BX$15),AND($Z15="Li",OR(TRIM($AM$15&amp;$AM$16&amp;$AM$17)="IV",TRIM($AM$15&amp;$AM$16&amp;$AM$17)="IV CO")),AND(OR($Z15="IV",$Z15="IV CO"),TRIM($AM$15&amp;$AM$16&amp;$AM$17)="Li")),"",IF(OR($Z15&lt;&gt;"IV",AND($Z15="IV",OR($BG15=BT$7,$BI15=BT$7))),H15,""))</f>
      </c>
      <c r="BU15" s="894">
        <f t="shared" si="70"/>
      </c>
      <c r="BV15" s="894">
        <f t="shared" si="70"/>
      </c>
      <c r="BW15" s="894">
        <f t="shared" si="70"/>
      </c>
      <c r="BX15" s="398">
        <f>IF(OR(AND(ISNA(MATCH("IV",$Z$15:$Z$17,0))=TRUE,ISNA(MATCH("IV CO",$Z$15:$Z$17,0))=TRUE),ISNA(MATCH("MU",$Z$15:$Z$17,0))=TRUE,$Z15="",Z15&lt;&gt;"Mu"),"",IF(AND(OR(TRIM($AM$15&amp;$AM$16&amp;$AM$17)="IV",TRIM($AM$15&amp;$AM$16&amp;$AM$17)="IV CO"),VLOOKUP("Mu",$Z$15:$AB$17,3,FALSE)=4),IF(MATCH(SMALL($H15:$K15,1),$H15:$K15,0)=1,"BT15",IF(MATCH(SMALL($H15:$K15,1),$H15:$K15,0)=2,"BU15",IF(MATCH(SMALL($H15:$K15,1),$H15:$K15,0)=3,"BV15",IF(MATCH(SMALL($H15:$K15,1),$H15:$K15,0)=4,"BW15",""))))))</f>
      </c>
      <c r="BY15" s="1072">
        <f t="shared" si="8"/>
      </c>
      <c r="BZ15" s="393"/>
      <c r="CA15" s="842">
        <f aca="true" t="shared" si="71" ref="CA15:CD17">IF(ISNA(MATCH(ADDRESS(ROW(BT15),COLUMN(BT15),4),$BX$38:$BX$49,0))=TRUE,"",IF(AND(ISNA(MATCH("PJK",$CH$38:$CH$49,0))=TRUE,MATCH(ADDRESS(ROW(BT15),COLUMN(BT15),4),$BX$38:$BX$49,0)&gt;MAX($BV$38:$BV$49)),"",IF(AND(VLOOKUP("PJK",$CH$37:$CK$49,3,FALSE)=35,$BY$34&lt;&gt;"",$BY$34=ADDRESS(ROW(BT15),COLUMN(BT15),4)),BT15,IF(MATCH(ADDRESS(ROW(BT15),COLUMN(BT15),4),$BX$38:$BX$49,0)&gt;MAX($BV$38:$BV$49),"",BT15))))</f>
      </c>
      <c r="CB15" s="842">
        <f t="shared" si="71"/>
      </c>
      <c r="CC15" s="842">
        <f t="shared" si="71"/>
      </c>
      <c r="CD15" s="842">
        <f t="shared" si="71"/>
      </c>
      <c r="CE15" s="919"/>
      <c r="CF15" s="1033">
        <f t="shared" si="13"/>
      </c>
      <c r="CG15" s="1033">
        <f t="shared" si="14"/>
      </c>
      <c r="CH15" s="1033">
        <f t="shared" si="15"/>
      </c>
      <c r="CI15" s="1033">
        <f t="shared" si="16"/>
      </c>
      <c r="CJ15" s="393"/>
      <c r="CK15" s="919"/>
      <c r="CL15" s="393"/>
      <c r="CM15" s="684"/>
      <c r="CN15" s="672"/>
      <c r="CO15" s="259" t="str">
        <f t="shared" si="17"/>
        <v>KU</v>
      </c>
      <c r="CP15" s="260">
        <f t="shared" si="18"/>
      </c>
      <c r="CQ15" s="259"/>
      <c r="CR15" s="260"/>
      <c r="CS15" s="345">
        <f aca="true" t="shared" si="72" ref="CS15:CV20">IF(OR($Z15="",H15=""),"",IF(BM15&lt;&gt;"",BM15,IF(CF15&lt;&gt;"",CF15,"("&amp;H15&amp;")")))</f>
      </c>
      <c r="CT15" s="345">
        <f t="shared" si="72"/>
      </c>
      <c r="CU15" s="345">
        <f t="shared" si="72"/>
      </c>
      <c r="CV15" s="345">
        <f t="shared" si="72"/>
      </c>
      <c r="CW15" s="50">
        <f aca="true" t="shared" si="73" ref="CW15:CW21">IF(CO15="","",COUNTA(CS15:CV15)-COUNTIF(CS15:CV15,""))</f>
        <v>0</v>
      </c>
      <c r="CX15" s="69">
        <f t="shared" si="20"/>
        <v>0</v>
      </c>
      <c r="CY15" s="70">
        <f t="shared" si="21"/>
      </c>
      <c r="CZ15" s="39"/>
      <c r="DA15" s="380"/>
      <c r="DB15" s="380"/>
      <c r="DC15" s="380"/>
      <c r="DD15" s="33"/>
      <c r="DE15" s="71">
        <f t="shared" si="22"/>
        <v>0</v>
      </c>
      <c r="DF15" s="71" t="str">
        <f t="shared" si="23"/>
        <v>0</v>
      </c>
      <c r="DG15" s="393"/>
      <c r="DH15" s="393"/>
      <c r="DI15" s="919"/>
      <c r="DJ15" s="393"/>
      <c r="DK15" s="642">
        <f aca="true" t="shared" si="74" ref="DK15:DN20">IF($CN$5=1,IF(ISNA(MATCH(ADDRESS(ROW(BT15),COLUMN(BT15),4),$DH$10:$DH$12,0))=TRUE,"",BT15),IF(ISNA(MATCH(ADDRESS(ROW(BT66),COLUMN(BT66),4),$DH$10:$DH$12,0))=TRUE,"",BT66))</f>
      </c>
      <c r="DL15" s="642">
        <f t="shared" si="74"/>
      </c>
      <c r="DM15" s="642">
        <f t="shared" si="74"/>
      </c>
      <c r="DN15" s="642">
        <f t="shared" si="74"/>
      </c>
      <c r="DO15" s="919"/>
      <c r="DP15" s="393"/>
      <c r="DQ15" s="684"/>
      <c r="DR15" s="672"/>
      <c r="DS15" s="259" t="str">
        <f t="shared" si="25"/>
        <v>KU</v>
      </c>
      <c r="DT15" s="260">
        <f t="shared" si="26"/>
      </c>
      <c r="DU15" s="259"/>
      <c r="DV15" s="260"/>
      <c r="DW15" s="345">
        <f aca="true" t="shared" si="75" ref="DW15:DZ20">IF($CN$5=1,IF(DK15="",CS15,DK15),IF(DK15="",CS66,DK15))</f>
      </c>
      <c r="DX15" s="345">
        <f t="shared" si="75"/>
      </c>
      <c r="DY15" s="345">
        <f t="shared" si="75"/>
      </c>
      <c r="DZ15" s="345">
        <f t="shared" si="75"/>
      </c>
      <c r="EA15" s="50">
        <f aca="true" t="shared" si="76" ref="EA15:EA20">IF(DS15="","",COUNTA(DW15:DZ15)-COUNTIF(DW15:DZ15,""))</f>
        <v>0</v>
      </c>
      <c r="EB15" s="69">
        <f t="shared" si="28"/>
        <v>0</v>
      </c>
      <c r="EC15" s="70">
        <f t="shared" si="29"/>
      </c>
      <c r="ED15" s="39"/>
      <c r="EE15" s="380"/>
      <c r="EF15" s="380"/>
      <c r="EG15" s="71">
        <f t="shared" si="30"/>
        <v>0</v>
      </c>
      <c r="EH15" s="71" t="str">
        <f t="shared" si="31"/>
        <v>0</v>
      </c>
      <c r="EI15" s="393"/>
      <c r="EJ15" s="393"/>
      <c r="EK15" s="393"/>
      <c r="EL15" s="393"/>
      <c r="EM15" s="393"/>
      <c r="EN15" s="568" t="s">
        <v>387</v>
      </c>
      <c r="EO15" s="574">
        <f aca="true" t="shared" si="77" ref="EO15:ER20">BM15</f>
      </c>
      <c r="EP15" s="572">
        <f t="shared" si="77"/>
      </c>
      <c r="EQ15" s="572">
        <f t="shared" si="77"/>
      </c>
      <c r="ER15" s="575">
        <f t="shared" si="77"/>
      </c>
      <c r="ES15" s="391">
        <f t="shared" si="34"/>
        <v>0</v>
      </c>
      <c r="ET15" s="391"/>
      <c r="EU15" s="958">
        <f aca="true" t="shared" si="78" ref="EU15:EX20">BT15</f>
      </c>
      <c r="EV15" s="958">
        <f t="shared" si="78"/>
      </c>
      <c r="EW15" s="958">
        <f t="shared" si="78"/>
      </c>
      <c r="EX15" s="958">
        <f t="shared" si="78"/>
      </c>
      <c r="EY15" s="397">
        <f>IF(AND(MIN(BT15:BW15)=MIN($BT$15:$BW$17),AND(OR($D$15="Mu",$D$16="Mu",$D$17="Mu"),OR($D$15="IV",$D$16="IV",$D$17="IV")),COUNT($BT$15:$BW$17)&gt;3),MATCH(MIN(BT15:BW15),BT15:BW15,0),"")</f>
      </c>
      <c r="EZ15" s="579"/>
      <c r="FA15" s="962">
        <f t="shared" si="1"/>
        <v>0</v>
      </c>
      <c r="FB15" s="962">
        <f t="shared" si="36"/>
        <v>0</v>
      </c>
      <c r="FC15" s="684"/>
      <c r="FD15" s="33" t="e">
        <f>IF(FD14="","",IF(OR(COUNT($EO$10:$ER$30)+FD14&lt;38,AND(MAX($FD$11:FD14)+$ET$37&lt;40,AND(ET41&lt;40,FF15&gt;EV41))),FD14+1,""))</f>
        <v>#NUM!</v>
      </c>
      <c r="FE15" s="248">
        <v>5</v>
      </c>
      <c r="FF15" s="33" t="e">
        <f t="shared" si="37"/>
        <v>#NUM!</v>
      </c>
      <c r="FG15" s="33" t="e">
        <f ca="1">IF(OR($FF15="",ISERROR(MATCH($FF15,EX$11:EX$32,0))=TRUE),0,IF(OR(AND(COUNTIF(EX$11:EX$32,$FF15)=1,ISNA(MATCH(MATCH($FF15,EX$11:EX$32,0)+10,FG$11:FG14,0)=TRUE)),AND(COUNTIF(EX$11:EX$32,$FF15)&gt;=2,$FF14&lt;&gt;$FF15)),MATCH($FF15,EX$11:EX$32,0)+10,IF(AND(COUNTIF(EX$11:EX$32,$FF15)&gt;=2,COUNTIF(INDIRECT("FG$"&amp;MATCH($FF15,$FF$11:$FF15,0)+10):FG14,"&gt;0")&lt;COUNTIF(EX$11:EX$32,$FF15)),MATCH($FF15,INDIRECT("EX"&amp;FG14+1):$EX$34,0)+FG14,0)))</f>
        <v>#NUM!</v>
      </c>
      <c r="FH15" s="33" t="e">
        <f ca="1">IF(OR($FF15="",FG15&lt;&gt;0,ISERROR(MATCH($FF15,$EW$11:$EW$32,0))=TRUE),0,IF(OR(AND(COUNTIF($EW$11:$EW$32,$FF15)=1,ISNA(MATCH(MATCH($FF15,$EW$11:$EW$32,0)+10,FH$11:FH14,0)=TRUE)),AND(COUNTIF($EW$11:$EW$32,$FF15)&gt;=2,$FF14&lt;&gt;$FF15)),MATCH($FF15,$EW$11:$EW$32,0)+10,IF(AND(COUNTIF($EW$11:$EW$32,$FF15)&gt;=2,COUNTIF(INDIRECT("FH$"&amp;MATCH($FF15,$FF$11:$FF15,0)+10):FH14,"&gt;0")&lt;COUNTIF($EW$11:$EW$32,$FF15)),MATCH($FF15,INDIRECT("EW"&amp;FH14+1):$EW$34,0)+FH14,0)))</f>
        <v>#NUM!</v>
      </c>
      <c r="FI15" s="33" t="e">
        <f ca="1">IF(OR($FF15="",FG15&lt;&gt;0,FH15&lt;&gt;0,ISERROR(MATCH($FF15,EV$11:EV$32,0))=TRUE),0,IF(OR(AND(COUNTIF(EV$11:EV$32,$FF15)=1,ISNA(MATCH(MATCH($FF15,EV$11:EV$32,0)+10,FI$11:FI14,0)=TRUE)),AND(COUNTIF(EV$11:EV$32,$FF15)&gt;=2,$FF14&lt;&gt;$FF15)),MATCH($FF15,EV$11:EV$32,0)+10,IF(AND(COUNTIF(EV$11:EV$32,$FF15)&gt;=2,COUNTIF(INDIRECT("FI$"&amp;MATCH($FF15,$FF$11:$FF15,0)+10):FI14,"&gt;0")&lt;COUNTIF(EV$11:EV$32,$FF15)),MATCH($FF15,INDIRECT("EV"&amp;FI14+1):$EV$34,0)+FI14,0)))</f>
        <v>#NUM!</v>
      </c>
      <c r="FJ15" s="33" t="e">
        <f ca="1">IF(OR($FF15="",FG15&lt;&gt;0,FH15&lt;&gt;0,FI15&lt;&gt;0,ISERROR(MATCH($FF15,$EU$11:$EU$32,0))=TRUE),0,IF(OR(AND(COUNTIF($EU$11:$EU$32,$FF15)=1,ISNA(MATCH(MATCH($FF15,$EU$11:$EU$32,0)+10,FJ$11:FJ14,0)=TRUE)),AND(COUNTIF($EU$11:$EU$32,$FF15)&gt;=2,$FF14&lt;&gt;$FF15)),MATCH($FF15,$EU$11:$EU$32,0)+10,IF(AND(COUNTIF($EU$11:$EU$32,$FF15)&gt;=2,COUNTIF(INDIRECT("FJ$"&amp;MATCH($FF15,$FF$11:$FF15,0)+10):FJ14,"&gt;0")&lt;COUNTIF($EU$11:$EU$32,$FF15)),MATCH($FF15,INDIRECT("EU"&amp;FJ14+1):$EU$34,0)+FJ14,0)))</f>
        <v>#NUM!</v>
      </c>
      <c r="FK15" s="61" t="e">
        <f t="shared" si="63"/>
        <v>#NUM!</v>
      </c>
      <c r="FL15" s="842">
        <f t="shared" si="38"/>
      </c>
      <c r="FM15" s="842">
        <f t="shared" si="39"/>
      </c>
      <c r="FN15" s="842">
        <f t="shared" si="40"/>
      </c>
      <c r="FO15" s="842">
        <f t="shared" si="41"/>
      </c>
      <c r="FP15" s="255" t="e">
        <f t="shared" si="64"/>
        <v>#NUM!</v>
      </c>
      <c r="FQ15" s="917" t="e">
        <f ca="1">IF(AND(RIGHT(FK14,2)="31",COUNTA($FQ$11:FQ14)-COUNTIF($FQ$11:FQ14,"")=0),ADDRESS(31,COLUMN(INDIRECT(FK14))-1,4),"")</f>
        <v>#NUM!</v>
      </c>
      <c r="FR15" s="917" t="e">
        <f t="shared" si="42"/>
        <v>#NUM!</v>
      </c>
      <c r="FS15" s="917" t="e">
        <f>IF(FQ15&lt;&gt;"",FQ15,IF(FP15="","",IF(COUNTA($FQ$11:FQ14)-COUNTIF($FQ$11:FQ14,"")&lt;&gt;1,VLOOKUP(FP15,$FD$11:$FK$23,8,FALSE),VLOOKUP(FP15-1,$FE$11:$FK$23,7,FALSE))))</f>
        <v>#NUM!</v>
      </c>
      <c r="FT15" s="938" t="e">
        <f>IF(AND($FR$26&gt;MAX($FP$11:$FP$22),FP15=$FR$26-2,$FR$26-1=MAX($FP$11:$FP$22)),"",IF(AND(FS15&lt;&gt;"",ISNA(MATCH(FS15,$FT$11:FT14,0))=FALSE),FK15,FS15))</f>
        <v>#NUM!</v>
      </c>
      <c r="FU15" s="255"/>
      <c r="FV15" s="672"/>
      <c r="FW15" s="259" t="str">
        <f aca="true" t="shared" si="79" ref="FW15:FW31">IF($D15="","",$D15)</f>
        <v>KU</v>
      </c>
      <c r="FX15" s="260">
        <f aca="true" t="shared" si="80" ref="FX15:FX31">IF($E15="","",$E15)</f>
      </c>
      <c r="FY15" s="259"/>
      <c r="FZ15" s="260"/>
      <c r="GA15" s="345">
        <f aca="true" t="shared" si="81" ref="GA15:GA21">IF($EE$41&lt;8,$CS15,IF($EE$41=8,$DW15,IF($EO15&lt;&gt;"",$EO15,IF(FL15&lt;&gt;"",FL15,IF($H15="","","("&amp;$H15&amp;")")))))</f>
      </c>
      <c r="GB15" s="345">
        <f aca="true" t="shared" si="82" ref="GB15:GB21">IF($EE$41&lt;8,$CT15,IF($EE$41=8,$DX15,IF($EP15&lt;&gt;"",$EP15,IF(FM15&lt;&gt;"",FM15,IF($I15="","","("&amp;$I15&amp;")")))))</f>
      </c>
      <c r="GC15" s="345">
        <f aca="true" t="shared" si="83" ref="GC15:GC21">IF($EE$41&lt;8,$CU15,IF($EE$41=8,$DY15,IF($EQ15&lt;&gt;"",$EQ15,IF(FN15&lt;&gt;"",FN15,IF($J15="","","("&amp;$J15&amp;")")))))</f>
      </c>
      <c r="GD15" s="345">
        <f aca="true" t="shared" si="84" ref="GD15:GD21">IF($EE$41&lt;8,$CV15,IF($EE$41=8,$DZ15,IF($ER15&lt;&gt;"",$ER15,IF(FO15&lt;&gt;"",FO15,IF($K15="","","("&amp;$K15&amp;")")))))</f>
      </c>
      <c r="GE15" s="50">
        <f aca="true" t="shared" si="85" ref="GE15:GE20">IF(FW15="","",COUNTA(GA15:GD15)-COUNTIF(GA15:GD15,""))</f>
        <v>0</v>
      </c>
      <c r="GF15" s="69">
        <f t="shared" si="44"/>
        <v>0</v>
      </c>
      <c r="GG15" s="70">
        <f t="shared" si="45"/>
      </c>
      <c r="GH15" s="39"/>
      <c r="GI15" s="380"/>
      <c r="GJ15" s="380"/>
      <c r="GK15" s="71">
        <f t="shared" si="46"/>
        <v>0</v>
      </c>
      <c r="GL15" s="71" t="str">
        <f t="shared" si="47"/>
        <v>0</v>
      </c>
      <c r="GM15" s="71"/>
      <c r="GN15" s="71">
        <f t="shared" si="48"/>
      </c>
      <c r="GO15" s="71">
        <v>5</v>
      </c>
      <c r="GP15" s="71">
        <f t="shared" si="49"/>
      </c>
      <c r="GQ15" s="61">
        <f ca="1">IF(OR($GP15="",ISERROR(MATCH($GP15,$FL$11:$FL$32,0))=TRUE),0,IF(OR(AND(COUNTIF($FL$11:$FL$32,$GP15)=1,ISNA(MATCH(MATCH($GP15,$FL$11:$FL$32,0)+10,GQ$11:GQ14,0)=TRUE)),AND(COUNTIF($FL$11:$FL$32,$GP15)&gt;=2,$GP14&lt;&gt;$GP15)),MATCH($GP15,$FL$11:$FL$32,0)+10,IF(AND(COUNTIF($FL$11:$FL$32,$GP15)&gt;=2,COUNTIF(INDIRECT("GQ$"&amp;MATCH($GP15,$GP$11:$GP15,0)+10):GQ14,"&gt;0")&lt;COUNTIF($FL$11:$FL$32,$GP15)),MATCH($GP15,INDIRECT("FL"&amp;GQ14+1):$FL$34,0)+GQ14,0)))</f>
        <v>0</v>
      </c>
      <c r="GR15" s="61">
        <f ca="1">IF(OR($GP15="",GQ15&lt;&gt;0,ISERROR(MATCH($GP15,$FM$11:$FM$32,0))=TRUE),0,IF(OR(AND(COUNTIF($FM$11:$FM$32,$GP15)=1,ISNA(MATCH(MATCH($GP15,$FM$11:$FM$32,0)+10,GR$11:GR14,0)=TRUE)),AND(COUNTIF($FM$11:$FM$32,$GP15)&gt;=2,$GP14&lt;&gt;$GP15)),MATCH($GP15,$FM$11:$FM$32,0)+10,IF(AND(COUNTIF($FM$11:$FM$32,$GP15)&gt;=2,COUNTIF(INDIRECT("GR$"&amp;MATCH($GP15,$GP$11:$GP15,0)+10):GR14,"&gt;0")&lt;COUNTIF($FM$11:$FM$32,$GP15)),MATCH($GP15,INDIRECT("FM"&amp;GR14+1):$FM$34,0)+GR14,0)))</f>
        <v>0</v>
      </c>
      <c r="GS15" s="61">
        <f ca="1">IF(OR($GP15="",GQ15&lt;&gt;0,GR15&lt;&gt;0,ISERROR(MATCH($GP15,$FN$11:$FN$32,0))=TRUE),0,IF(OR(AND(COUNTIF($FN$11:$FN$32,$GP15)=1,ISNA(MATCH(MATCH($GP15,$FN$11:$FN$32,0)+10,GS$11:GS14,0)=TRUE)),AND(COUNTIF($FN$11:$FN$32,$GP15)&gt;=2,$GP14&lt;&gt;$GP15)),MATCH($GP15,$FN$11:$FN$32,0)+10,IF(AND(COUNTIF($FN$11:$FN$32,$GP15)&gt;=2,COUNTIF(INDIRECT("GS$"&amp;MATCH($GP15,$GP$11:$GP15,0)+10):GS14,"&gt;0")&lt;COUNTIF($FN$11:$FN$32,$GP15)),MATCH($GP15,INDIRECT("FN"&amp;GS14+1):$GS$34,0)+GS14,0)))</f>
        <v>0</v>
      </c>
      <c r="GT15" s="61">
        <f ca="1">IF(OR($GP15="",GQ15&lt;&gt;0,GR15&lt;&gt;0,GS15&lt;&gt;0,ISERROR(MATCH($GP15,$FO$11:$FO$32,0))=TRUE),0,IF(OR(AND(COUNTIF($FO$11:$FO$32,$GP15)=1,ISNA(MATCH(MATCH($GP15,$FO$11:$FO$32,0)+10,GT$11:GT14,0)=TRUE)),AND(COUNTIF($FO$11:$FO$32,$GP15)&gt;=2,$GP14&lt;&gt;$GP15)),MATCH($GP15,$FO$11:$FO$32,0)+10,IF(AND(COUNTIF($FO$11:$FO$32,$GP15)&gt;=2,COUNTIF(INDIRECT("GT$"&amp;MATCH($GP15,$GP$11:$GP15,0)+10):GT14,"&gt;0")&lt;COUNTIF($FO$11:$FO$32,$GP15)),MATCH($GP15,INDIRECT("FO"&amp;GT14+1):$FO$34,0)+GT14,0)))</f>
        <v>0</v>
      </c>
      <c r="GU15" s="61">
        <f t="shared" si="50"/>
      </c>
      <c r="GV15" s="1065">
        <f t="shared" si="51"/>
      </c>
      <c r="GW15" s="1065">
        <f t="shared" si="52"/>
      </c>
      <c r="GX15" s="1065">
        <f t="shared" si="53"/>
      </c>
      <c r="GY15" s="1065">
        <f t="shared" si="54"/>
      </c>
      <c r="GZ15" s="393"/>
      <c r="HA15" s="324"/>
      <c r="HB15" s="672"/>
      <c r="HC15" s="259" t="str">
        <f aca="true" t="shared" si="86" ref="HC15:HC31">IF($D15="","",$D15)</f>
        <v>KU</v>
      </c>
      <c r="HD15" s="260">
        <f aca="true" t="shared" si="87" ref="HD15:HD31">IF($E15="","",$E15)</f>
      </c>
      <c r="HE15" s="259"/>
      <c r="HF15" s="260"/>
      <c r="HG15" s="345">
        <f aca="true" t="shared" si="88" ref="HG15:HG21">IF($EE$41&lt;8,$CS15,IF($EE$41=8,$DW15,IF($EO15&lt;&gt;"",$EO15,IF($GV15&lt;&gt;"",$GV15,IF($H15="","","("&amp;$H15&amp;")")))))</f>
      </c>
      <c r="HH15" s="345">
        <f aca="true" t="shared" si="89" ref="HH15:HH21">IF($EE$41&lt;8,$CT15,IF($EE$41=8,$DX15,IF($EP15&lt;&gt;"",$EP15,IF($GW15&lt;&gt;"",$GW15,IF($I15="","","("&amp;$I15&amp;")")))))</f>
      </c>
      <c r="HI15" s="345">
        <f aca="true" t="shared" si="90" ref="HI15:HI21">IF($EE$41&lt;8,$CU15,IF($EE$41=8,$DY15,IF($EQ15&lt;&gt;"",$EQ15,IF($GX15&lt;&gt;"",$GX15,IF($J15="","","("&amp;$J15&amp;")")))))</f>
      </c>
      <c r="HJ15" s="345">
        <f aca="true" t="shared" si="91" ref="HJ15:HJ21">IF($EE$41&lt;8,$CV15,IF($EE$41=8,$DZ15,IF($ER15&lt;&gt;"",$ER15,IF($GY15&lt;&gt;"",$GY15,IF($K15="","","("&amp;$K15&amp;")")))))</f>
      </c>
      <c r="HK15" s="50">
        <f aca="true" t="shared" si="92" ref="HK15:HK20">IF(HC15="","",COUNTA(HG15:HJ15)-COUNTIF(HG15:HJ15,""))</f>
        <v>0</v>
      </c>
      <c r="HL15" s="69">
        <f t="shared" si="56"/>
        <v>0</v>
      </c>
      <c r="HM15" s="70">
        <f t="shared" si="57"/>
      </c>
      <c r="HN15" s="39"/>
      <c r="HO15" s="380"/>
      <c r="HP15" s="380"/>
      <c r="HQ15" s="71">
        <f t="shared" si="58"/>
        <v>0</v>
      </c>
      <c r="HR15" s="71" t="str">
        <f t="shared" si="59"/>
        <v>0</v>
      </c>
    </row>
    <row r="16" spans="3:226" ht="15" customHeight="1">
      <c r="C16" s="849"/>
      <c r="D16" s="337">
        <f>IF(Zulassung!D15="","",Zulassung!D15)</f>
      </c>
      <c r="E16" s="514">
        <f>IF(Zulassung!E15="","",Zulassung!E15)</f>
      </c>
      <c r="F16" s="515">
        <f>IF(Zulassung!F15="","",Zulassung!F15)</f>
      </c>
      <c r="G16" s="516">
        <f>IF(Zulassung!G15="","",Zulassung!G15)</f>
      </c>
      <c r="H16" s="550">
        <f>IF(Zulassung!H15="","",Zulassung!H15)</f>
      </c>
      <c r="I16" s="551">
        <f>IF(Zulassung!I15="","",Zulassung!I15)</f>
      </c>
      <c r="J16" s="551">
        <f>IF(Zulassung!J15="","",Zulassung!J15)</f>
      </c>
      <c r="K16" s="552">
        <f>IF(Zulassung!K15="","",Zulassung!K15)</f>
      </c>
      <c r="L16" s="370">
        <f t="shared" si="0"/>
      </c>
      <c r="O16" s="681"/>
      <c r="P16" s="255"/>
      <c r="Q16" s="1392"/>
      <c r="R16" s="1392"/>
      <c r="S16" s="380"/>
      <c r="T16" s="842">
        <f t="shared" si="60"/>
        <v>0</v>
      </c>
      <c r="U16" s="842" t="str">
        <f t="shared" si="2"/>
        <v>0</v>
      </c>
      <c r="V16" s="842">
        <f t="shared" si="3"/>
        <v>0</v>
      </c>
      <c r="W16" s="842">
        <f t="shared" si="4"/>
        <v>0</v>
      </c>
      <c r="Z16" s="842">
        <f t="shared" si="61"/>
      </c>
      <c r="AA16" s="842">
        <f>IF(OR(AND(OR(Z16="KU",Z16="MU"),Zulassung!G15="",COUNT(H16:K16)&gt;0),AND(I16="",MAX(I16:K16)&gt;0),AND(I16="",MAX(J16:K16)&gt;0),AND(J16="",K16&lt;&gt;"")),1,0)</f>
        <v>0</v>
      </c>
      <c r="AB16" s="842">
        <f>IF(OR(L16=0,L16=""),0,L16)</f>
        <v>0</v>
      </c>
      <c r="AC16" s="842">
        <v>2</v>
      </c>
      <c r="AD16" s="842">
        <f>IF(Z16="","",IF(OR(AB15&gt;=$AC$15,AB16&gt;=$AC$15,AB17&gt;=$AC$15),"W","F"))</f>
      </c>
      <c r="AE16" s="842">
        <f t="shared" si="65"/>
        <v>0</v>
      </c>
      <c r="AF16" s="842">
        <f>SUM(H16:I16)</f>
        <v>0</v>
      </c>
      <c r="AG16" s="842"/>
      <c r="AH16" s="842">
        <f t="shared" si="66"/>
      </c>
      <c r="AI16" s="842">
        <f>IF(COUNT(H16:I16)=0,"",MIN(H16:I16))</f>
      </c>
      <c r="AJ16" s="289">
        <f t="shared" si="67"/>
      </c>
      <c r="AK16" s="842">
        <f>IF(AB16&gt;=2,Z16,"")</f>
      </c>
      <c r="AL16" s="248"/>
      <c r="AM16" s="842">
        <f>IF(BK16=MAX(BK15:BK17),Z16,"")</f>
      </c>
      <c r="AN16" s="248" t="str">
        <f>Z12</f>
        <v>S0</v>
      </c>
      <c r="AO16" s="970">
        <f ca="1">IF(OR($D12="",$D11="",AS$10=""),"",COUNTIF($CS$12:$CV$12,"&lt;5")+COUNTIF($CU$11:$CV$11,"&lt;5")+COUNTIF(INDIRECT("CU"&amp;MATCH(AS$10,$D$25:$D$27,0)+23&amp;":CV"&amp;MATCH(AS$10,$D$25:$D$27,0)+23),"&lt;5"))</f>
        <v>0</v>
      </c>
      <c r="AP16" s="966"/>
      <c r="AQ16" s="937">
        <f ca="1">IF(OR($D12="",$D13="",AS$10=""),"",COUNTIF($CS$12:$CV$12,"&lt;5")+COUNTIF($CU$13:$CV$13,"&lt;5")+COUNTIF(INDIRECT("CU"&amp;MATCH(AS$10,$D$25:$D$27,0)+23&amp;":CV"&amp;MATCH(AS$10,$D$25:$D$27,0)+23),"&lt;5"))</f>
      </c>
      <c r="AR16" s="61"/>
      <c r="AS16" s="61"/>
      <c r="AT16" s="970">
        <f ca="1">IF(OR($D12="",$D11="",AX$10=""),"",COUNTIF($CS$12:$CV$12,"&lt;5")+COUNTIF($CU$11:$CV$11,"&lt;5")+COUNTIF(INDIRECT("CU"&amp;MATCH(AX$10,$D$25:$D$27,0)+23&amp;":CV"&amp;MATCH(AX$10,$D$25:$D$27,0)+23),"&lt;5"))</f>
      </c>
      <c r="AU16" s="966"/>
      <c r="AV16" s="1029">
        <f ca="1">IF(OR($D12="",$D13="",AX$10=""),"",COUNTIF($CS$12:$CV$12,"&lt;5")+COUNTIF($CU$13:$CV$13,"&lt;5")+COUNTIF(INDIRECT("CU"&amp;MATCH(AX$10,$D$25:$D$27,0)+23&amp;":CV"&amp;MATCH(AX$10,$D$25:$D$27,0)+23),"&lt;5"))</f>
      </c>
      <c r="AW16" s="61"/>
      <c r="AX16" s="61"/>
      <c r="AY16" s="970">
        <f ca="1">IF(OR($D12="",$D11="",BC$10=""),"",COUNTIF($CS$12:$CV$12,"&lt;5")+COUNTIF($CU$11:$CV$11,"&lt;5")+COUNTIF(INDIRECT("CU"&amp;MATCH(BC$10,$D$25:$D$27,0)+23&amp;":CV"&amp;MATCH(BC$10,$D$25:$D$27,0)+23),"&lt;5"))</f>
      </c>
      <c r="AZ16" s="966"/>
      <c r="BA16" s="1029">
        <f ca="1">IF(OR($D12="",$D13="",BC$10=""),"",COUNTIF($CS$12:$CV$12,"&lt;5")+COUNTIF($CU$13:$CV$13,"&lt;5")+COUNTIF(INDIRECT("CU"&amp;MATCH(BC$10,$D$25:$D$27,0)+23&amp;":CV"&amp;MATCH(BC$10,$D$25:$D$27,0)+23),"&lt;5"))</f>
      </c>
      <c r="BB16" s="248"/>
      <c r="BC16" s="972">
        <f>COUNTIF(H12:K12,"&lt;5")</f>
        <v>0</v>
      </c>
      <c r="BD16" s="61"/>
      <c r="BE16" s="61"/>
      <c r="BF16" s="61"/>
      <c r="BG16" s="842">
        <f>IF(OR(BH16="",BH16=0),"",MATCH(BH16,H16:K16,0))</f>
      </c>
      <c r="BH16" s="247">
        <f>IF(MAX(H16:K16)=0,"",MAX(H16:K16))</f>
      </c>
      <c r="BI16" s="842">
        <f t="shared" si="68"/>
      </c>
      <c r="BJ16" s="247">
        <f>IF(BG16=1,MAX(I16:K16),IF(BG16=2,MAX(H16,J16,K16),IF(BG16=3,MAX(H16,I16,K16),IF(BG16=4,MAX(H16:J16),""))))</f>
      </c>
      <c r="BK16" s="410">
        <f>SUM(BH16,BJ16)</f>
        <v>0</v>
      </c>
      <c r="BL16" s="412">
        <f>IF(MIN(BH16,BJ16)=0,99,MIN(BH16,BJ16))</f>
        <v>99</v>
      </c>
      <c r="BM16" s="842">
        <f>IF($E16&lt;&gt;"",H16,IF(OR(H16="",$AM16=""),"",IF(OR(E16&lt;&gt;"",AND($BK16=$BK$13,OR(AND(COUNTIF($BK$15:$BK$17,$BK$13)=1,OR($BG16=BM$7,$BI16=BM$7)),AND(COUNTIF($BK$15:$BK$17,$BK$13)&gt;1,$BL16&gt;MIN($BL$15:$BL$17),OR($BG16=$BM$7,$BI16=$BM$7)),AND(COUNTIF($BK$15:$BK$17,$BK$13)&gt;1,COUNTIF($BL$15:$BL$17,$BL$13)&gt;1,$BL16=MIN($BL$15:$BL$17),OR($BG16=$BM$7,$BI16=$BM$7))))),H16,"")))</f>
      </c>
      <c r="BN16" s="842">
        <f>IF($E16&lt;&gt;"",I16,IF(OR(I16="",$AM16=""),"",IF(OR(E16&lt;&gt;"",AND($BK16=$BK$13,OR(AND(COUNTIF($BK$15:$BK$17,$BK$13)=1,OR($BG16=BN$7,$BI16=BN$7)),AND(COUNTIF($BK$15:$BK$17,$BK$13)&gt;1,$BL16&gt;MIN($BL$15:$BL$17),OR($BG16=$BM$7,$BI16=$BM$7)),AND(COUNTIF($BK$15:$BK$17,$BK$13)&gt;1,COUNTIF($BL$15:$BL$17,$BL$13)&gt;1,$BL16=MIN($BL$15:$BL$17),OR($BG16=$BM$7,$BI16=$BM$7))))),I16,"")))</f>
      </c>
      <c r="BO16" s="842">
        <f>IF($E16&lt;&gt;"",J16,IF(OR(J16="",$AM16=""),"",IF(OR(E16&lt;&gt;"",AND($BK16=$BK$13,OR(AND(COUNTIF($BK$15:$BK$17,$BK$13)=1,OR($BG16=$BO$7,$BI16=$BO$7)),AND(COUNTIF($BK$15:$BK$17,$BK$13)&gt;1,$BL16&gt;MIN($BL$15:$BL$17),OR($BG16=$BO$7,$BI16=$BO$7)),AND(COUNTIF($BK$15:$BK$17,$BK$13)&gt;1,COUNTIF($BL$15:$BL$17,$BL$13)&gt;1,$BL16=MIN($BL$15:$BL$17),OR($BG16=$BM$7,$BI16=$BM$7))))),J16,"")))</f>
      </c>
      <c r="BP16" s="842">
        <f>IF($E16&lt;&gt;"",K16,IF(OR(K16="",$AM16=""),"",IF(OR(E16&lt;&gt;"",AND($BK16=$BK$13,OR(AND(COUNTIF($BK$15:$BK$17,$BK$13)=1,OR($BG16=$BP$7,$BI16=$BP$7)),AND(COUNTIF($BK$15:$BK$17,$BK$13)&gt;1,$BL16&gt;MIN($BL$15:$BL$17),OR($BG16=$BP$7,$BI16=$BP$7)),AND(COUNTIF($BK$15:$BK$17,$BK$13)&gt;1,COUNTIF($BL$15:$BL$17,$BL$13)&gt;1,$BL16=MIN($BL$15:$BL$17),OR($BG16=$BM$7,$BI16=$BM$7))))),K16,"")))</f>
      </c>
      <c r="BQ16" s="247">
        <f t="shared" si="69"/>
        <v>0</v>
      </c>
      <c r="BR16" s="567">
        <f t="shared" si="5"/>
        <v>0</v>
      </c>
      <c r="BS16" s="567">
        <f t="shared" si="62"/>
        <v>0</v>
      </c>
      <c r="BT16" s="842">
        <f t="shared" si="70"/>
      </c>
      <c r="BU16" s="842">
        <f t="shared" si="70"/>
      </c>
      <c r="BV16" s="842">
        <f t="shared" si="70"/>
      </c>
      <c r="BW16" s="842">
        <f t="shared" si="70"/>
      </c>
      <c r="BX16" s="398">
        <f>IF(OR(AND(ISNA(MATCH("IV",$Z$15:$Z$17,0))=TRUE,ISNA(MATCH("IV CO",$Z$15:$Z$17,0))=TRUE),ISNA(MATCH("MU",$Z$15:$Z$17,0))=TRUE,$Z16="",Z16&lt;&gt;"Mu"),"",IF(AND(OR(TRIM($AM$15&amp;$AM$16&amp;$AM$17)="IV",TRIM($AM$15&amp;$AM$16&amp;$AM$17)="IV CO"),VLOOKUP("Mu",$Z$15:$AB$17,3,FALSE)=4),IF(MATCH(SMALL($H16:$K16,1),$H16:$K16,0)=1,"BT16",IF(MATCH(SMALL($H16:$K16,1),$H16:$K16,0)=2,"BU16",IF(MATCH(SMALL($H16:$K16,1),$H16:$K16,0)=3,"BV16",IF(MATCH(SMALL($H16:$K16,1),$H16:$K16,0)=4,"BW16",""))))))</f>
      </c>
      <c r="BY16" s="1072">
        <f t="shared" si="8"/>
      </c>
      <c r="BZ16" s="393"/>
      <c r="CA16" s="842">
        <f t="shared" si="71"/>
      </c>
      <c r="CB16" s="842">
        <f t="shared" si="71"/>
      </c>
      <c r="CC16" s="842">
        <f t="shared" si="71"/>
      </c>
      <c r="CD16" s="842">
        <f t="shared" si="71"/>
      </c>
      <c r="CE16" s="919"/>
      <c r="CF16" s="1033">
        <f t="shared" si="13"/>
      </c>
      <c r="CG16" s="1033">
        <f t="shared" si="14"/>
      </c>
      <c r="CH16" s="1033">
        <f t="shared" si="15"/>
      </c>
      <c r="CI16" s="1033">
        <f t="shared" si="16"/>
      </c>
      <c r="CJ16" s="393"/>
      <c r="CK16" s="919"/>
      <c r="CL16" s="393"/>
      <c r="CM16" s="684"/>
      <c r="CN16" s="672"/>
      <c r="CO16" s="259">
        <f t="shared" si="17"/>
      </c>
      <c r="CP16" s="260">
        <f t="shared" si="18"/>
      </c>
      <c r="CQ16" s="259"/>
      <c r="CR16" s="260"/>
      <c r="CS16" s="345">
        <f t="shared" si="72"/>
      </c>
      <c r="CT16" s="345">
        <f t="shared" si="72"/>
      </c>
      <c r="CU16" s="345">
        <f t="shared" si="72"/>
      </c>
      <c r="CV16" s="345">
        <f t="shared" si="72"/>
      </c>
      <c r="CW16" s="50">
        <f t="shared" si="73"/>
      </c>
      <c r="CX16" s="69">
        <f t="shared" si="20"/>
      </c>
      <c r="CY16" s="70">
        <f t="shared" si="21"/>
      </c>
      <c r="CZ16" s="39"/>
      <c r="DA16" s="380"/>
      <c r="DB16" s="380"/>
      <c r="DC16" s="380"/>
      <c r="DD16" s="33"/>
      <c r="DE16" s="71">
        <f t="shared" si="22"/>
        <v>0</v>
      </c>
      <c r="DF16" s="71" t="str">
        <f t="shared" si="23"/>
        <v>0</v>
      </c>
      <c r="DG16" s="393"/>
      <c r="DH16" s="393"/>
      <c r="DI16" s="919"/>
      <c r="DJ16" s="393"/>
      <c r="DK16" s="642">
        <f t="shared" si="74"/>
      </c>
      <c r="DL16" s="642">
        <f t="shared" si="74"/>
      </c>
      <c r="DM16" s="642">
        <f t="shared" si="74"/>
      </c>
      <c r="DN16" s="642">
        <f t="shared" si="74"/>
      </c>
      <c r="DO16" s="919"/>
      <c r="DP16" s="393"/>
      <c r="DQ16" s="684"/>
      <c r="DR16" s="672"/>
      <c r="DS16" s="259">
        <f t="shared" si="25"/>
      </c>
      <c r="DT16" s="260">
        <f t="shared" si="26"/>
      </c>
      <c r="DU16" s="259"/>
      <c r="DV16" s="260"/>
      <c r="DW16" s="345">
        <f t="shared" si="75"/>
      </c>
      <c r="DX16" s="345">
        <f t="shared" si="75"/>
      </c>
      <c r="DY16" s="345">
        <f t="shared" si="75"/>
      </c>
      <c r="DZ16" s="345">
        <f t="shared" si="75"/>
      </c>
      <c r="EA16" s="50">
        <f t="shared" si="76"/>
      </c>
      <c r="EB16" s="69">
        <f t="shared" si="28"/>
      </c>
      <c r="EC16" s="70">
        <f t="shared" si="29"/>
      </c>
      <c r="ED16" s="39"/>
      <c r="EE16" s="380"/>
      <c r="EF16" s="380"/>
      <c r="EG16" s="71">
        <f t="shared" si="30"/>
        <v>0</v>
      </c>
      <c r="EH16" s="71" t="str">
        <f t="shared" si="31"/>
        <v>0</v>
      </c>
      <c r="EI16" s="393"/>
      <c r="EJ16" s="393"/>
      <c r="EK16" s="393"/>
      <c r="EL16" s="393"/>
      <c r="EM16" s="393"/>
      <c r="EN16" s="568"/>
      <c r="EO16" s="574">
        <f t="shared" si="77"/>
      </c>
      <c r="EP16" s="572">
        <f t="shared" si="77"/>
      </c>
      <c r="EQ16" s="572">
        <f t="shared" si="77"/>
      </c>
      <c r="ER16" s="575">
        <f t="shared" si="77"/>
      </c>
      <c r="ES16" s="391">
        <f t="shared" si="34"/>
        <v>0</v>
      </c>
      <c r="ET16" s="391"/>
      <c r="EU16" s="958">
        <f t="shared" si="78"/>
      </c>
      <c r="EV16" s="958">
        <f t="shared" si="78"/>
      </c>
      <c r="EW16" s="958">
        <f t="shared" si="78"/>
      </c>
      <c r="EX16" s="958">
        <f t="shared" si="78"/>
      </c>
      <c r="EY16" s="398">
        <f>IF(AND(MIN(BT16:BW16)=MIN($BT$15:$BW$17),AND(OR($D$15="Mu",$D$16="Mu",$D$17="Mu"),OR($D$15="IV",$D$16="IV",$D$17="IV")),COUNT($BT$15:$BW$17)&gt;3),MATCH(MIN(BT16:BW16),BT16:BW16,0),"")</f>
      </c>
      <c r="EZ16" s="579"/>
      <c r="FA16" s="962">
        <f t="shared" si="1"/>
        <v>0</v>
      </c>
      <c r="FB16" s="962">
        <f t="shared" si="36"/>
        <v>0</v>
      </c>
      <c r="FC16" s="684"/>
      <c r="FD16" s="33" t="e">
        <f>IF(FD15="","",IF(OR(COUNT($EO$10:$ER$30)+FD15&lt;38,AND(MAX($FD$11:FD15)+$ET$37&lt;40,AND(ET42&lt;40,FF16&gt;EV42))),FD15+1,""))</f>
        <v>#NUM!</v>
      </c>
      <c r="FE16" s="248">
        <v>6</v>
      </c>
      <c r="FF16" s="33" t="e">
        <f t="shared" si="37"/>
        <v>#NUM!</v>
      </c>
      <c r="FG16" s="33" t="e">
        <f ca="1">IF(OR($FF16="",ISERROR(MATCH($FF16,EX$11:EX$32,0))=TRUE),0,IF(OR(AND(COUNTIF(EX$11:EX$32,$FF16)=1,ISNA(MATCH(MATCH($FF16,EX$11:EX$32,0)+10,FG$11:FG15,0)=TRUE)),AND(COUNTIF(EX$11:EX$32,$FF16)&gt;=2,$FF15&lt;&gt;$FF16)),MATCH($FF16,EX$11:EX$32,0)+10,IF(AND(COUNTIF(EX$11:EX$32,$FF16)&gt;=2,COUNTIF(INDIRECT("FG$"&amp;MATCH($FF16,$FF$11:$FF16,0)+10):FG15,"&gt;0")&lt;COUNTIF(EX$11:EX$32,$FF16)),MATCH($FF16,INDIRECT("EX"&amp;FG15+1):$EX$34,0)+FG15,0)))</f>
        <v>#NUM!</v>
      </c>
      <c r="FH16" s="33" t="e">
        <f ca="1">IF(OR($FF16="",FG16&lt;&gt;0,ISERROR(MATCH($FF16,$EW$11:$EW$32,0))=TRUE),0,IF(OR(AND(COUNTIF($EW$11:$EW$32,$FF16)=1,ISNA(MATCH(MATCH($FF16,$EW$11:$EW$32,0)+10,FH$11:FH15,0)=TRUE)),AND(COUNTIF($EW$11:$EW$32,$FF16)&gt;=2,$FF15&lt;&gt;$FF16)),MATCH($FF16,$EW$11:$EW$32,0)+10,IF(AND(COUNTIF($EW$11:$EW$32,$FF16)&gt;=2,COUNTIF(INDIRECT("FH$"&amp;MATCH($FF16,$FF$11:$FF16,0)+10):FH15,"&gt;0")&lt;COUNTIF($EW$11:$EW$32,$FF16)),MATCH($FF16,INDIRECT("EW"&amp;FH15+1):$EW$34,0)+FH15,0)))</f>
        <v>#NUM!</v>
      </c>
      <c r="FI16" s="33" t="e">
        <f ca="1">IF(OR($FF16="",FG16&lt;&gt;0,FH16&lt;&gt;0,ISERROR(MATCH($FF16,EV$11:EV$32,0))=TRUE),0,IF(OR(AND(COUNTIF(EV$11:EV$32,$FF16)=1,ISNA(MATCH(MATCH($FF16,EV$11:EV$32,0)+10,FI$11:FI15,0)=TRUE)),AND(COUNTIF(EV$11:EV$32,$FF16)&gt;=2,$FF15&lt;&gt;$FF16)),MATCH($FF16,EV$11:EV$32,0)+10,IF(AND(COUNTIF(EV$11:EV$32,$FF16)&gt;=2,COUNTIF(INDIRECT("FI$"&amp;MATCH($FF16,$FF$11:$FF16,0)+10):FI15,"&gt;0")&lt;COUNTIF(EV$11:EV$32,$FF16)),MATCH($FF16,INDIRECT("EV"&amp;FI15+1):$EV$34,0)+FI15,0)))</f>
        <v>#NUM!</v>
      </c>
      <c r="FJ16" s="33" t="e">
        <f ca="1">IF(OR($FF16="",FG16&lt;&gt;0,FH16&lt;&gt;0,FI16&lt;&gt;0,ISERROR(MATCH($FF16,$EU$11:$EU$32,0))=TRUE),0,IF(OR(AND(COUNTIF($EU$11:$EU$32,$FF16)=1,ISNA(MATCH(MATCH($FF16,$EU$11:$EU$32,0)+10,FJ$11:FJ15,0)=TRUE)),AND(COUNTIF($EU$11:$EU$32,$FF16)&gt;=2,$FF15&lt;&gt;$FF16)),MATCH($FF16,$EU$11:$EU$32,0)+10,IF(AND(COUNTIF($EU$11:$EU$32,$FF16)&gt;=2,COUNTIF(INDIRECT("FJ$"&amp;MATCH($FF16,$FF$11:$FF16,0)+10):FJ15,"&gt;0")&lt;COUNTIF($EU$11:$EU$32,$FF16)),MATCH($FF16,INDIRECT("EU"&amp;FJ15+1):$EU$34,0)+FJ15,0)))</f>
        <v>#NUM!</v>
      </c>
      <c r="FK16" s="61" t="e">
        <f t="shared" si="63"/>
        <v>#NUM!</v>
      </c>
      <c r="FL16" s="842">
        <f t="shared" si="38"/>
      </c>
      <c r="FM16" s="842">
        <f t="shared" si="39"/>
      </c>
      <c r="FN16" s="842">
        <f t="shared" si="40"/>
      </c>
      <c r="FO16" s="842">
        <f t="shared" si="41"/>
      </c>
      <c r="FP16" s="255" t="e">
        <f t="shared" si="64"/>
        <v>#NUM!</v>
      </c>
      <c r="FQ16" s="917" t="e">
        <f ca="1">IF(AND(RIGHT(FK15,2)="31",COUNTA($FQ$11:FQ15)-COUNTIF($FQ$11:FQ15,"")=0),ADDRESS(31,COLUMN(INDIRECT(FK15))-1,4),"")</f>
        <v>#NUM!</v>
      </c>
      <c r="FR16" s="917" t="e">
        <f t="shared" si="42"/>
        <v>#NUM!</v>
      </c>
      <c r="FS16" s="917" t="e">
        <f>IF(FQ16&lt;&gt;"",FQ16,IF(FP16="","",IF(COUNTA($FQ$11:FQ15)-COUNTIF($FQ$11:FQ15,"")&lt;&gt;1,VLOOKUP(FP16,$FD$11:$FK$23,8,FALSE),VLOOKUP(FP16-1,$FE$11:$FK$23,7,FALSE))))</f>
        <v>#NUM!</v>
      </c>
      <c r="FT16" s="938" t="e">
        <f>IF(AND($FR$26&gt;MAX($FP$11:$FP$22),FP16=$FR$26-2,$FR$26-1=MAX($FP$11:$FP$22)),"",IF(AND(FS16&lt;&gt;"",ISNA(MATCH(FS16,$FT$11:FT15,0))=FALSE),FK16,FS16))</f>
        <v>#NUM!</v>
      </c>
      <c r="FU16" s="255"/>
      <c r="FV16" s="672"/>
      <c r="FW16" s="259">
        <f t="shared" si="79"/>
      </c>
      <c r="FX16" s="260">
        <f t="shared" si="80"/>
      </c>
      <c r="FY16" s="259"/>
      <c r="FZ16" s="260"/>
      <c r="GA16" s="345">
        <f t="shared" si="81"/>
      </c>
      <c r="GB16" s="345">
        <f t="shared" si="82"/>
      </c>
      <c r="GC16" s="345">
        <f t="shared" si="83"/>
      </c>
      <c r="GD16" s="345">
        <f t="shared" si="84"/>
      </c>
      <c r="GE16" s="50">
        <f t="shared" si="85"/>
      </c>
      <c r="GF16" s="69">
        <f t="shared" si="44"/>
      </c>
      <c r="GG16" s="70">
        <f t="shared" si="45"/>
      </c>
      <c r="GH16" s="39"/>
      <c r="GI16" s="380"/>
      <c r="GJ16" s="380"/>
      <c r="GK16" s="71">
        <f t="shared" si="46"/>
        <v>0</v>
      </c>
      <c r="GL16" s="71" t="str">
        <f t="shared" si="47"/>
        <v>0</v>
      </c>
      <c r="GM16" s="71"/>
      <c r="GN16" s="71">
        <f t="shared" si="48"/>
      </c>
      <c r="GO16" s="71">
        <v>6</v>
      </c>
      <c r="GP16" s="71">
        <f t="shared" si="49"/>
      </c>
      <c r="GQ16" s="61">
        <f ca="1">IF(OR($GP16="",ISERROR(MATCH($GP16,$FL$11:$FL$32,0))=TRUE),0,IF(OR(AND(COUNTIF($FL$11:$FL$32,$GP16)=1,ISNA(MATCH(MATCH($GP16,$FL$11:$FL$32,0)+10,GQ$11:GQ15,0)=TRUE)),AND(COUNTIF($FL$11:$FL$32,$GP16)&gt;=2,$GP15&lt;&gt;$GP16)),MATCH($GP16,$FL$11:$FL$32,0)+10,IF(AND(COUNTIF($FL$11:$FL$32,$GP16)&gt;=2,COUNTIF(INDIRECT("GQ$"&amp;MATCH($GP16,$GP$11:$GP16,0)+10):GQ15,"&gt;0")&lt;COUNTIF($FL$11:$FL$32,$GP16)),MATCH($GP16,INDIRECT("FL"&amp;GQ15+1):$FL$34,0)+GQ15,0)))</f>
        <v>0</v>
      </c>
      <c r="GR16" s="61">
        <f ca="1">IF(OR($GP16="",GQ16&lt;&gt;0,ISERROR(MATCH($GP16,$FM$11:$FM$32,0))=TRUE),0,IF(OR(AND(COUNTIF($FM$11:$FM$32,$GP16)=1,ISNA(MATCH(MATCH($GP16,$FM$11:$FM$32,0)+10,GR$11:GR15,0)=TRUE)),AND(COUNTIF($FM$11:$FM$32,$GP16)&gt;=2,$GP15&lt;&gt;$GP16)),MATCH($GP16,$FM$11:$FM$32,0)+10,IF(AND(COUNTIF($FM$11:$FM$32,$GP16)&gt;=2,COUNTIF(INDIRECT("GR$"&amp;MATCH($GP16,$GP$11:$GP16,0)+10):GR15,"&gt;0")&lt;COUNTIF($FM$11:$FM$32,$GP16)),MATCH($GP16,INDIRECT("FM"&amp;GR15+1):$FM$34,0)+GR15,0)))</f>
        <v>0</v>
      </c>
      <c r="GS16" s="61">
        <f ca="1">IF(OR($GP16="",GQ16&lt;&gt;0,GR16&lt;&gt;0,ISERROR(MATCH($GP16,$FN$11:$FN$32,0))=TRUE),0,IF(OR(AND(COUNTIF($FN$11:$FN$32,$GP16)=1,ISNA(MATCH(MATCH($GP16,$FN$11:$FN$32,0)+10,GS$11:GS15,0)=TRUE)),AND(COUNTIF($FN$11:$FN$32,$GP16)&gt;=2,$GP15&lt;&gt;$GP16)),MATCH($GP16,$FN$11:$FN$32,0)+10,IF(AND(COUNTIF($FN$11:$FN$32,$GP16)&gt;=2,COUNTIF(INDIRECT("GS$"&amp;MATCH($GP16,$GP$11:$GP16,0)+10):GS15,"&gt;0")&lt;COUNTIF($FN$11:$FN$32,$GP16)),MATCH($GP16,INDIRECT("FN"&amp;GS15+1):$GS$34,0)+GS15,0)))</f>
        <v>0</v>
      </c>
      <c r="GT16" s="61">
        <f ca="1">IF(OR($GP16="",GQ16&lt;&gt;0,GR16&lt;&gt;0,GS16&lt;&gt;0,ISERROR(MATCH($GP16,$FO$11:$FO$32,0))=TRUE),0,IF(OR(AND(COUNTIF($FO$11:$FO$32,$GP16)=1,ISNA(MATCH(MATCH($GP16,$FO$11:$FO$32,0)+10,GT$11:GT15,0)=TRUE)),AND(COUNTIF($FO$11:$FO$32,$GP16)&gt;=2,$GP15&lt;&gt;$GP16)),MATCH($GP16,$FO$11:$FO$32,0)+10,IF(AND(COUNTIF($FO$11:$FO$32,$GP16)&gt;=2,COUNTIF(INDIRECT("GT$"&amp;MATCH($GP16,$GP$11:$GP16,0)+10):GT15,"&gt;0")&lt;COUNTIF($FO$11:$FO$32,$GP16)),MATCH($GP16,INDIRECT("FO"&amp;GT15+1):$FO$34,0)+GT15,0)))</f>
        <v>0</v>
      </c>
      <c r="GU16" s="61">
        <f t="shared" si="50"/>
      </c>
      <c r="GV16" s="1065">
        <f t="shared" si="51"/>
      </c>
      <c r="GW16" s="1065">
        <f t="shared" si="52"/>
      </c>
      <c r="GX16" s="1065">
        <f t="shared" si="53"/>
      </c>
      <c r="GY16" s="1065">
        <f t="shared" si="54"/>
      </c>
      <c r="GZ16" s="393"/>
      <c r="HA16" s="324"/>
      <c r="HB16" s="672"/>
      <c r="HC16" s="259">
        <f t="shared" si="86"/>
      </c>
      <c r="HD16" s="260">
        <f t="shared" si="87"/>
      </c>
      <c r="HE16" s="259"/>
      <c r="HF16" s="260"/>
      <c r="HG16" s="345">
        <f t="shared" si="88"/>
      </c>
      <c r="HH16" s="345">
        <f t="shared" si="89"/>
      </c>
      <c r="HI16" s="345">
        <f t="shared" si="90"/>
      </c>
      <c r="HJ16" s="345">
        <f t="shared" si="91"/>
      </c>
      <c r="HK16" s="50">
        <f t="shared" si="92"/>
      </c>
      <c r="HL16" s="69">
        <f t="shared" si="56"/>
      </c>
      <c r="HM16" s="70">
        <f t="shared" si="57"/>
      </c>
      <c r="HN16" s="39"/>
      <c r="HO16" s="380"/>
      <c r="HP16" s="380"/>
      <c r="HQ16" s="71">
        <f t="shared" si="58"/>
        <v>0</v>
      </c>
      <c r="HR16" s="71" t="str">
        <f t="shared" si="59"/>
        <v>0</v>
      </c>
    </row>
    <row r="17" spans="3:226" ht="15" customHeight="1">
      <c r="C17" s="850"/>
      <c r="D17" s="815">
        <f>IF(Zulassung!D16="","",Zulassung!D16)</f>
      </c>
      <c r="E17" s="816">
        <f>IF(Zulassung!E16="","",Zulassung!E16)</f>
      </c>
      <c r="F17" s="517">
        <f>IF(Zulassung!F16="","",Zulassung!F16)</f>
      </c>
      <c r="G17" s="518">
        <f>IF(Zulassung!G16="","",Zulassung!G16)</f>
      </c>
      <c r="H17" s="553">
        <f>IF(Zulassung!H16="","",Zulassung!H16)</f>
      </c>
      <c r="I17" s="554">
        <f>IF(Zulassung!I16="","",Zulassung!I16)</f>
      </c>
      <c r="J17" s="554">
        <f>IF(Zulassung!J16="","",Zulassung!J16)</f>
      </c>
      <c r="K17" s="555">
        <f>IF(Zulassung!K16="","",Zulassung!K16)</f>
      </c>
      <c r="L17" s="385">
        <f t="shared" si="0"/>
      </c>
      <c r="O17" s="681"/>
      <c r="P17" s="255"/>
      <c r="Q17" s="1534"/>
      <c r="R17" s="1534"/>
      <c r="S17" s="75"/>
      <c r="T17" s="842">
        <f t="shared" si="60"/>
        <v>0</v>
      </c>
      <c r="U17" s="842" t="str">
        <f t="shared" si="2"/>
        <v>0</v>
      </c>
      <c r="V17" s="842">
        <f t="shared" si="3"/>
        <v>0</v>
      </c>
      <c r="W17" s="842">
        <f t="shared" si="4"/>
        <v>0</v>
      </c>
      <c r="Z17" s="842">
        <f t="shared" si="61"/>
      </c>
      <c r="AA17" s="842">
        <f>IF(OR(AND(OR(Z17="KU",Z17="MU"),Zulassung!G16="",COUNT(H17:K17)&gt;0),AND(H17="",MAX(I17:K17)&gt;0),AND(I17="",MAX(J17:K17)&gt;0),AND(J17="",K17&lt;&gt;"")),1,0)</f>
        <v>0</v>
      </c>
      <c r="AB17" s="842">
        <f>IF(OR(L17=0,L17=""),0,L17)</f>
        <v>0</v>
      </c>
      <c r="AC17" s="842">
        <v>2</v>
      </c>
      <c r="AD17" s="842">
        <f>IF(Z17="","",IF(OR(AB15&gt;=$AC$15,AB16&gt;=$AC$15,AB17&gt;=$AC$15),"W","F"))</f>
      </c>
      <c r="AE17" s="842">
        <f t="shared" si="65"/>
        <v>0</v>
      </c>
      <c r="AF17" s="842">
        <f>SUM(H17:I17)</f>
        <v>0</v>
      </c>
      <c r="AG17" s="842"/>
      <c r="AH17" s="842">
        <f t="shared" si="66"/>
      </c>
      <c r="AI17" s="842">
        <f>IF(COUNT(H17:I17)=0,"",MIN(H17:I17))</f>
      </c>
      <c r="AJ17" s="289">
        <f t="shared" si="67"/>
      </c>
      <c r="AK17" s="842">
        <f>IF(AB17&gt;=2,Z17,"")</f>
      </c>
      <c r="AL17" s="275"/>
      <c r="AM17" s="842">
        <f>IF(BK17=MAX(BK15:BK17),Z17,"")</f>
      </c>
      <c r="AN17" s="275">
        <f>Z13</f>
      </c>
      <c r="AO17" s="971">
        <f ca="1">IF(OR($D13="",$D11="",AS$10=""),"",COUNTIF($CS$13:$CV$13,"&lt;5")+COUNTIF($CU$11:$CV$11,"&lt;5")+COUNTIF(INDIRECT("CU"&amp;MATCH(AS$10,$D$25:$D$27,0)+23&amp;":CV"&amp;MATCH(AS$10,$D$25:$D$27,0)+23),"&lt;5"))</f>
      </c>
      <c r="AP17" s="956">
        <f ca="1">IF(OR($D13="",$D12="",AS$10=""),"",COUNTIF($CS$12:$CV$12,"&lt;5")+COUNTIF($CU$13:$CV$13,"&lt;5")+COUNTIF(INDIRECT("CU"&amp;MATCH(AS$10,$D$25:$D$27,0)+23&amp;":CV"&amp;MATCH(AS$10,$D$25:$D$27,0)+23),"&lt;5"))</f>
      </c>
      <c r="AQ17" s="967"/>
      <c r="AR17" s="277"/>
      <c r="AS17" s="277"/>
      <c r="AT17" s="971">
        <f ca="1">IF(OR($D13="",$D11="",AX$10=""),"",COUNTIF($CS$13:$CV$13,"&lt;5")+COUNTIF($CU$11:$CV$11,"&lt;5")+COUNTIF(INDIRECT("CU"&amp;MATCH(AX$10,$D$25:$D$27,0)+23&amp;":CV"&amp;MATCH(AX$10,$D$25:$D$27,0)+23),"&lt;5"))</f>
      </c>
      <c r="AU17" s="956">
        <f ca="1">IF(OR($D13="",$D12="",AX$10=""),"",COUNTIF($CS$12:$CV$12,"&lt;5")+COUNTIF($CU$13:$CV$13,"&lt;5")+COUNTIF(INDIRECT("CU"&amp;MATCH(AX$10,$D$25:$D$27,0)+23&amp;":CV"&amp;MATCH(AX$10,$D$25:$D$27,0)+23),"&lt;5"))</f>
      </c>
      <c r="AV17" s="967"/>
      <c r="AW17" s="277"/>
      <c r="AX17" s="277"/>
      <c r="AY17" s="971">
        <f ca="1">IF(OR($D13="",$D11="",BC$10=""),"",COUNTIF($CS$13:$CV$13,"&lt;5")+COUNTIF($CU$11:$CV$11,"&lt;5")+COUNTIF(INDIRECT("CU"&amp;MATCH(BC$10,$D$25:$D$27,0)+23&amp;":CV"&amp;MATCH(BC$10,$D$25:$D$27,0)+23),"&lt;5"))</f>
      </c>
      <c r="AZ17" s="956">
        <f ca="1">IF(OR($D13="",$D12="",BC$10=""),"",COUNTIF($CS$12:$CV$12,"&lt;5")+COUNTIF($CU$13:$CV$13,"&lt;5")+COUNTIF(INDIRECT("CU"&amp;MATCH(BC$10,$D$25:$D$27,0)+23&amp;":CV"&amp;MATCH(BC$10,$D$25:$D$27,0)+23),"&lt;5"))</f>
      </c>
      <c r="BA17" s="967"/>
      <c r="BB17" s="275"/>
      <c r="BC17" s="972">
        <f>COUNTIF(H13:K13,"&lt;5")</f>
        <v>0</v>
      </c>
      <c r="BD17" s="277"/>
      <c r="BE17" s="277"/>
      <c r="BF17" s="277"/>
      <c r="BG17" s="846">
        <f>IF(OR(BH17="",BH17=0),"",MATCH(BH17,H17:K17,0))</f>
      </c>
      <c r="BH17" s="274">
        <f>IF(MAX(H17:K17)=0,"",MAX(H17:K17))</f>
      </c>
      <c r="BI17" s="846">
        <f t="shared" si="68"/>
      </c>
      <c r="BJ17" s="274">
        <f>IF(BG17=1,MAX(I17:K17),IF(BG17=2,MAX(H17,J17,K17),IF(BG17=3,MAX(H17,I17,K17),IF(BG17=4,MAX(H17:J17),""))))</f>
      </c>
      <c r="BK17" s="413">
        <f>SUM(BH17,BJ17)</f>
        <v>0</v>
      </c>
      <c r="BL17" s="414">
        <f>IF(MIN(BH17,BJ17)=0,99,MIN(BH17,BJ17))</f>
        <v>99</v>
      </c>
      <c r="BM17" s="846">
        <f>IF($E17&lt;&gt;"",H17,IF(OR(H17="",$AM17=""),"",IF(OR(E17&lt;&gt;"",AND($BK17=$BK$13,OR(AND(COUNTIF($BK$15:$BK$17,$BK$13)=1,OR($BG17=BM$7,$BI17=BM$7)),AND(COUNTIF($BK$15:$BK$17,$BK$13)&gt;1,$BL17&gt;MIN($BL$15:$BL$17),OR($BG17=$BM$7,$BI17=$BM$7)),AND(COUNTIF($BK$15:$BK$17,$BK$13)&gt;1,COUNTIF($BL$15:$BL$17,$BL$13)&gt;1,$BL17=MIN($BL$15:$BL$17),OR($BG17=$BM$7,$BI17=$BM$7))))),H17,"")))</f>
      </c>
      <c r="BN17" s="846">
        <f>IF($E17&lt;&gt;"",I17,IF(OR(I17="",$AM17=""),"",IF(OR(E17&lt;&gt;"",AND($BK17=$BK$13,OR(AND(COUNTIF($BK$15:$BK$17,$BK$13)=1,OR($BG17=BN$7,$BI17=BN$7)),AND(COUNTIF($BK$15:$BK$17,$BK$13)&gt;1,$BL17&gt;MIN($BL$15:$BL$17),OR($BG17=$BM$7,$BI17=$BM$17)),AND(COUNTIF($BK$15:$BK$17,$BK$13)&gt;1,COUNTIF($BL$15:$BL$17,$BL$13)&gt;1,$BL17=MIN($BL$15:$BL$17),OR($BG17=$BM$7,$BI17=$BM$7))))),I17,"")))</f>
      </c>
      <c r="BO17" s="846">
        <f>IF($E17&lt;&gt;"",J17,IF(OR(J17="",$AM17=""),"",IF(OR(E17&lt;&gt;"",AND($BK17=$BK$13,OR(AND(COUNTIF($BK$15:$BK$17,$BK$13)=1,OR($BG17=$BO$7,$BI17=$BO$7)),AND(COUNTIF($BK$15:$BK$17,$BK$13)&gt;1,$BL17&gt;MIN($BL$15:$BL$17),OR($BG17=$BO$7,$BI17=$BO$7)),AND(COUNTIF($BK$15:$BK$17,$BK$13)&gt;1,COUNTIF($BL$15:$BL$17,$BL$13)&gt;1,$BL17=MIN($BL$15:$BL$17),OR($BG17=$BM$7,$BI17=$BM$7))))),J17,"")))</f>
      </c>
      <c r="BP17" s="846">
        <f>IF($E17&lt;&gt;"",K17,IF(OR(K17="",$AM17=""),"",IF(OR(E17&lt;&gt;"",AND($BK17=$BK$13,OR(AND(COUNTIF($BK$15:$BK$17,$BK$13)=1,OR($BG17=$BP$7,$BI17=$BP$7)),AND(COUNTIF($BK$15:$BK$17,$BK$13)&gt;1,$BL17&gt;MIN($BL$15:$BL$17),OR($BG17=$BP$7,$BI17=$BP$7)),AND(COUNTIF($BK$15:$BK$17,$BK$13)&gt;1,COUNTIF($BL$15:$BL$17,$BL$13)&gt;1,$BL17=MIN($BL$15:$BL$17),OR($BG17=$BM$7,$BI17=$BM$7))))),K17,"")))</f>
      </c>
      <c r="BQ17" s="274">
        <f t="shared" si="69"/>
        <v>0</v>
      </c>
      <c r="BR17" s="567">
        <f t="shared" si="5"/>
        <v>0</v>
      </c>
      <c r="BS17" s="567">
        <f t="shared" si="62"/>
        <v>0</v>
      </c>
      <c r="BT17" s="846">
        <f t="shared" si="70"/>
      </c>
      <c r="BU17" s="846">
        <f t="shared" si="70"/>
      </c>
      <c r="BV17" s="846">
        <f t="shared" si="70"/>
      </c>
      <c r="BW17" s="846">
        <f t="shared" si="70"/>
      </c>
      <c r="BX17" s="398">
        <f>IF(OR(AND(ISNA(MATCH("IV",$Z$15:$Z$17,0))=TRUE,ISNA(MATCH("IV CO",$Z$15:$Z$17,0))=TRUE),ISNA(MATCH("MU",$Z$15:$Z$17,0))=TRUE,$Z17="",Z17&lt;&gt;"Mu"),"",IF(AND(OR(TRIM($AM$15&amp;$AM$16&amp;$AM$17)="IV",TRIM($AM$15&amp;$AM$16&amp;$AM$17)="IV CO"),VLOOKUP("Mu",$Z$15:$AB$17,3,FALSE)=4),IF(MATCH(SMALL($H17:$K17,1),$H17:$K17,0)=1,"BT17",IF(MATCH(SMALL($H17:$K17,1),$H17:$K17,0)=2,"BU17",IF(MATCH(SMALL($H17:$K17,1),$H17:$K17,0)=3,"BV17",IF(MATCH(SMALL($H17:$K17,1),$H17:$K17,0)=4,"BW17",""))))))</f>
      </c>
      <c r="BY17" s="1072">
        <f t="shared" si="8"/>
      </c>
      <c r="BZ17" s="393"/>
      <c r="CA17" s="842">
        <f t="shared" si="71"/>
      </c>
      <c r="CB17" s="842">
        <f t="shared" si="71"/>
      </c>
      <c r="CC17" s="842">
        <f t="shared" si="71"/>
      </c>
      <c r="CD17" s="842">
        <f t="shared" si="71"/>
      </c>
      <c r="CE17" s="919"/>
      <c r="CF17" s="1033">
        <f t="shared" si="13"/>
      </c>
      <c r="CG17" s="1033">
        <f t="shared" si="14"/>
      </c>
      <c r="CH17" s="1033">
        <f t="shared" si="15"/>
      </c>
      <c r="CI17" s="1033">
        <f t="shared" si="16"/>
      </c>
      <c r="CJ17" s="393"/>
      <c r="CK17" s="919"/>
      <c r="CL17" s="393"/>
      <c r="CM17" s="684"/>
      <c r="CN17" s="672"/>
      <c r="CO17" s="261">
        <f t="shared" si="17"/>
      </c>
      <c r="CP17" s="262">
        <f t="shared" si="18"/>
      </c>
      <c r="CQ17" s="261"/>
      <c r="CR17" s="262"/>
      <c r="CS17" s="346">
        <f t="shared" si="72"/>
      </c>
      <c r="CT17" s="347">
        <f t="shared" si="72"/>
      </c>
      <c r="CU17" s="347">
        <f t="shared" si="72"/>
      </c>
      <c r="CV17" s="347">
        <f t="shared" si="72"/>
      </c>
      <c r="CW17" s="565">
        <f t="shared" si="73"/>
      </c>
      <c r="CX17" s="420">
        <f t="shared" si="20"/>
      </c>
      <c r="CY17" s="494">
        <f t="shared" si="21"/>
      </c>
      <c r="CZ17" s="33"/>
      <c r="DA17" s="74"/>
      <c r="DB17" s="33"/>
      <c r="DC17" s="75"/>
      <c r="DD17" s="33"/>
      <c r="DE17" s="71">
        <f t="shared" si="22"/>
        <v>0</v>
      </c>
      <c r="DF17" s="71" t="str">
        <f t="shared" si="23"/>
        <v>0</v>
      </c>
      <c r="DG17" s="393"/>
      <c r="DH17" s="393"/>
      <c r="DI17" s="919"/>
      <c r="DJ17" s="393"/>
      <c r="DK17" s="642">
        <f t="shared" si="74"/>
      </c>
      <c r="DL17" s="642">
        <f t="shared" si="74"/>
      </c>
      <c r="DM17" s="642">
        <f t="shared" si="74"/>
      </c>
      <c r="DN17" s="642">
        <f t="shared" si="74"/>
      </c>
      <c r="DO17" s="919"/>
      <c r="DP17" s="393"/>
      <c r="DQ17" s="684"/>
      <c r="DR17" s="672"/>
      <c r="DS17" s="261">
        <f t="shared" si="25"/>
      </c>
      <c r="DT17" s="262">
        <f t="shared" si="26"/>
      </c>
      <c r="DU17" s="261"/>
      <c r="DV17" s="262"/>
      <c r="DW17" s="346">
        <f t="shared" si="75"/>
      </c>
      <c r="DX17" s="347">
        <f t="shared" si="75"/>
      </c>
      <c r="DY17" s="347">
        <f t="shared" si="75"/>
      </c>
      <c r="DZ17" s="347">
        <f t="shared" si="75"/>
      </c>
      <c r="EA17" s="565">
        <f t="shared" si="76"/>
      </c>
      <c r="EB17" s="420">
        <f t="shared" si="28"/>
      </c>
      <c r="EC17" s="494">
        <f t="shared" si="29"/>
      </c>
      <c r="ED17" s="33"/>
      <c r="EE17" s="74"/>
      <c r="EF17" s="33"/>
      <c r="EG17" s="71">
        <f t="shared" si="30"/>
        <v>0</v>
      </c>
      <c r="EH17" s="71" t="str">
        <f t="shared" si="31"/>
        <v>0</v>
      </c>
      <c r="EI17" s="393"/>
      <c r="EJ17" s="393"/>
      <c r="EK17" s="393"/>
      <c r="EL17" s="393"/>
      <c r="EM17" s="393"/>
      <c r="EN17" s="568"/>
      <c r="EO17" s="576">
        <f t="shared" si="77"/>
      </c>
      <c r="EP17" s="573">
        <f t="shared" si="77"/>
      </c>
      <c r="EQ17" s="573">
        <f t="shared" si="77"/>
      </c>
      <c r="ER17" s="577">
        <f t="shared" si="77"/>
      </c>
      <c r="ES17" s="391">
        <f t="shared" si="34"/>
        <v>0</v>
      </c>
      <c r="ET17" s="391"/>
      <c r="EU17" s="958">
        <f t="shared" si="78"/>
      </c>
      <c r="EV17" s="958">
        <f t="shared" si="78"/>
      </c>
      <c r="EW17" s="958">
        <f t="shared" si="78"/>
      </c>
      <c r="EX17" s="958">
        <f t="shared" si="78"/>
      </c>
      <c r="EY17" s="399">
        <f>IF(AND(MIN(BT17:BW17)=MIN($BT$15:$BW$17),AND(OR($D$15="Mu",$D$16="Mu",$D$17="Mu"),OR($D$15="IV",$D$16="IV",$D$17="IV")),COUNT($BT$15:$BW$17)&gt;3),MATCH(MIN(BT17:BW17),BT17:BW17,0),"")</f>
      </c>
      <c r="EZ17" s="579"/>
      <c r="FA17" s="962">
        <f t="shared" si="1"/>
        <v>0</v>
      </c>
      <c r="FB17" s="962">
        <f t="shared" si="36"/>
        <v>0</v>
      </c>
      <c r="FC17" s="684"/>
      <c r="FD17" s="33" t="e">
        <f>IF(FD16="","",IF(OR(COUNT($EO$10:$ER$30)+FD16&lt;38,AND(MAX($FD$11:FD16)+$ET$37&lt;40,AND(ET43&lt;40,FF17&gt;EV43))),FD16+1,""))</f>
        <v>#NUM!</v>
      </c>
      <c r="FE17" s="248">
        <v>7</v>
      </c>
      <c r="FF17" s="33">
        <f aca="true" t="shared" si="93" ref="FF17:FF22">IF(ISERROR(LARGE($EU$11:$EX$32,FE17))=TRUE,"",LARGE($EU$11:$EX$32,FE17))</f>
      </c>
      <c r="FG17" s="33">
        <f ca="1">IF(OR($FF17="",ISERROR(MATCH($FF17,EX$11:EX$32,0))=TRUE),0,IF(OR(AND(COUNTIF(EX$11:EX$32,$FF17)=1,ISNA(MATCH(MATCH($FF17,EX$11:EX$32,0)+10,FG$11:FG16,0)=TRUE)),AND(COUNTIF(EX$11:EX$32,$FF17)&gt;=2,$FF16&lt;&gt;$FF17)),MATCH($FF17,EX$11:EX$32,0)+10,IF(AND(COUNTIF(EX$11:EX$32,$FF17)&gt;=2,COUNTIF(INDIRECT("FG$"&amp;MATCH($FF17,$FF$11:$FF17,0)+10):FG16,"&gt;0")&lt;COUNTIF(EX$11:EX$32,$FF17)),MATCH($FF17,INDIRECT("EX"&amp;FG16+1):$EX$34,0)+FG16,0)))</f>
        <v>0</v>
      </c>
      <c r="FH17" s="33">
        <f ca="1">IF(OR($FF17="",FG17&lt;&gt;0,ISERROR(MATCH($FF17,$EW$11:$EW$32,0))=TRUE),0,IF(OR(AND(COUNTIF($EW$11:$EW$32,$FF17)=1,ISNA(MATCH(MATCH($FF17,$EW$11:$EW$32,0)+10,FH$11:FH16,0)=TRUE)),AND(COUNTIF($EW$11:$EW$32,$FF17)&gt;=2,$FF16&lt;&gt;$FF17)),MATCH($FF17,$EW$11:$EW$32,0)+10,IF(AND(COUNTIF($EW$11:$EW$32,$FF17)&gt;=2,COUNTIF(INDIRECT("FH$"&amp;MATCH($FF17,$FF$11:$FF17,0)+10):FH16,"&gt;0")&lt;COUNTIF($EW$11:$EW$32,$FF17)),MATCH($FF17,INDIRECT("EW"&amp;FH16+1):$EW$34,0)+FH16,0)))</f>
        <v>0</v>
      </c>
      <c r="FI17" s="33">
        <f ca="1">IF(OR($FF17="",FG17&lt;&gt;0,FH17&lt;&gt;0,ISERROR(MATCH($FF17,EV$11:EV$32,0))=TRUE),0,IF(OR(AND(COUNTIF(EV$11:EV$32,$FF17)=1,ISNA(MATCH(MATCH($FF17,EV$11:EV$32,0)+10,FI$11:FI16,0)=TRUE)),AND(COUNTIF(EV$11:EV$32,$FF17)&gt;=2,$FF16&lt;&gt;$FF17)),MATCH($FF17,EV$11:EV$32,0)+10,IF(AND(COUNTIF(EV$11:EV$32,$FF17)&gt;=2,COUNTIF(INDIRECT("FI$"&amp;MATCH($FF17,$FF$11:$FF17,0)+10):FI16,"&gt;0")&lt;COUNTIF(EV$11:EV$32,$FF17)),MATCH($FF17,INDIRECT("EV"&amp;FI16+1):$EV$34,0)+FI16,0)))</f>
        <v>0</v>
      </c>
      <c r="FJ17" s="33">
        <f ca="1">IF(OR($FF17="",FG17&lt;&gt;0,FH17&lt;&gt;0,FI17&lt;&gt;0,ISERROR(MATCH($FF17,$EU$11:$EU$32,0))=TRUE),0,IF(OR(AND(COUNTIF($EU$11:$EU$32,$FF17)=1,ISNA(MATCH(MATCH($FF17,$EU$11:$EU$32,0)+10,FJ$11:FJ16,0)=TRUE)),AND(COUNTIF($EU$11:$EU$32,$FF17)&gt;=2,$FF16&lt;&gt;$FF17)),MATCH($FF17,$EU$11:$EU$32,0)+10,IF(AND(COUNTIF($EU$11:$EU$32,$FF17)&gt;=2,COUNTIF(INDIRECT("FJ$"&amp;MATCH($FF17,$FF$11:$FF17,0)+10):FJ16,"&gt;0")&lt;COUNTIF($EU$11:$EU$32,$FF17)),MATCH($FF17,INDIRECT("EU"&amp;FJ16+1):$EU$34,0)+FJ16,0)))</f>
        <v>0</v>
      </c>
      <c r="FK17" s="61" t="str">
        <f t="shared" si="63"/>
        <v>EU0</v>
      </c>
      <c r="FL17" s="842">
        <f t="shared" si="38"/>
      </c>
      <c r="FM17" s="842">
        <f t="shared" si="39"/>
      </c>
      <c r="FN17" s="842">
        <f t="shared" si="40"/>
      </c>
      <c r="FO17" s="842">
        <f t="shared" si="41"/>
      </c>
      <c r="FP17" s="255" t="e">
        <f t="shared" si="64"/>
        <v>#NUM!</v>
      </c>
      <c r="FQ17" s="917" t="e">
        <f ca="1">IF(AND(RIGHT(FK16,2)="31",COUNTA($FQ$11:FQ16)-COUNTIF($FQ$11:FQ16,"")=0),ADDRESS(31,COLUMN(INDIRECT(FK16))-1,4),"")</f>
        <v>#NUM!</v>
      </c>
      <c r="FR17" s="917" t="e">
        <f t="shared" si="42"/>
        <v>#NUM!</v>
      </c>
      <c r="FS17" s="917" t="e">
        <f>IF(FQ17&lt;&gt;"",FQ17,IF(FP17="","",IF(COUNTA($FQ$11:FQ16)-COUNTIF($FQ$11:FQ16,"")&lt;&gt;1,VLOOKUP(FP17,$FD$11:$FK$23,8,FALSE),VLOOKUP(FP17-1,$FE$11:$FK$23,7,FALSE))))</f>
        <v>#NUM!</v>
      </c>
      <c r="FT17" s="938" t="e">
        <f>IF(AND($FR$26&gt;MAX($FP$11:$FP$22),FP17=$FR$26-2,$FR$26-1=MAX($FP$11:$FP$22)),"",IF(AND(FS17&lt;&gt;"",ISNA(MATCH(FS17,$FT$11:FT16,0))=FALSE),FK17,FS17))</f>
        <v>#NUM!</v>
      </c>
      <c r="FU17" s="255"/>
      <c r="FV17" s="672"/>
      <c r="FW17" s="261">
        <f t="shared" si="79"/>
      </c>
      <c r="FX17" s="262">
        <f t="shared" si="80"/>
      </c>
      <c r="FY17" s="261"/>
      <c r="FZ17" s="262"/>
      <c r="GA17" s="346">
        <f t="shared" si="81"/>
      </c>
      <c r="GB17" s="347">
        <f t="shared" si="82"/>
      </c>
      <c r="GC17" s="347">
        <f t="shared" si="83"/>
      </c>
      <c r="GD17" s="347">
        <f t="shared" si="84"/>
      </c>
      <c r="GE17" s="565">
        <f t="shared" si="85"/>
      </c>
      <c r="GF17" s="420">
        <f t="shared" si="44"/>
      </c>
      <c r="GG17" s="494">
        <f t="shared" si="45"/>
      </c>
      <c r="GI17" s="74"/>
      <c r="GJ17" s="33"/>
      <c r="GK17" s="71">
        <f t="shared" si="46"/>
        <v>0</v>
      </c>
      <c r="GL17" s="71" t="str">
        <f t="shared" si="47"/>
        <v>0</v>
      </c>
      <c r="GM17" s="71"/>
      <c r="GN17" s="71">
        <f t="shared" si="48"/>
      </c>
      <c r="GO17" s="71">
        <v>7</v>
      </c>
      <c r="GP17" s="71">
        <f t="shared" si="49"/>
      </c>
      <c r="GQ17" s="61">
        <f ca="1">IF(OR($GP17="",ISERROR(MATCH($GP17,$FL$11:$FL$32,0))=TRUE),0,IF(OR(AND(COUNTIF($FL$11:$FL$32,$GP17)=1,ISNA(MATCH(MATCH($GP17,$FL$11:$FL$32,0)+10,GQ$11:GQ16,0)=TRUE)),AND(COUNTIF($FL$11:$FL$32,$GP17)&gt;=2,$GP16&lt;&gt;$GP17)),MATCH($GP17,$FL$11:$FL$32,0)+10,IF(AND(COUNTIF($FL$11:$FL$32,$GP17)&gt;=2,COUNTIF(INDIRECT("GQ$"&amp;MATCH($GP17,$GP$11:$GP17,0)+10):GQ16,"&gt;0")&lt;COUNTIF($FL$11:$FL$32,$GP17)),MATCH($GP17,INDIRECT("FL"&amp;GQ16+1):$FL$34,0)+GQ16,0)))</f>
        <v>0</v>
      </c>
      <c r="GR17" s="61">
        <f ca="1">IF(OR($GP17="",GQ17&lt;&gt;0,ISERROR(MATCH($GP17,$FM$11:$FM$32,0))=TRUE),0,IF(OR(AND(COUNTIF($FM$11:$FM$32,$GP17)=1,ISNA(MATCH(MATCH($GP17,$FM$11:$FM$32,0)+10,GR$11:GR16,0)=TRUE)),AND(COUNTIF($FM$11:$FM$32,$GP17)&gt;=2,$GP16&lt;&gt;$GP17)),MATCH($GP17,$FM$11:$FM$32,0)+10,IF(AND(COUNTIF($FM$11:$FM$32,$GP17)&gt;=2,COUNTIF(INDIRECT("GR$"&amp;MATCH($GP17,$GP$11:$GP17,0)+10):GR16,"&gt;0")&lt;COUNTIF($FM$11:$FM$32,$GP17)),MATCH($GP17,INDIRECT("FM"&amp;GR16+1):$FM$34,0)+GR16,0)))</f>
        <v>0</v>
      </c>
      <c r="GS17" s="61">
        <f ca="1">IF(OR($GP17="",GQ17&lt;&gt;0,GR17&lt;&gt;0,ISERROR(MATCH($GP17,$FN$11:$FN$32,0))=TRUE),0,IF(OR(AND(COUNTIF($FN$11:$FN$32,$GP17)=1,ISNA(MATCH(MATCH($GP17,$FN$11:$FN$32,0)+10,GS$11:GS16,0)=TRUE)),AND(COUNTIF($FN$11:$FN$32,$GP17)&gt;=2,$GP16&lt;&gt;$GP17)),MATCH($GP17,$FN$11:$FN$32,0)+10,IF(AND(COUNTIF($FN$11:$FN$32,$GP17)&gt;=2,COUNTIF(INDIRECT("GS$"&amp;MATCH($GP17,$GP$11:$GP17,0)+10):GS16,"&gt;0")&lt;COUNTIF($FN$11:$FN$32,$GP17)),MATCH($GP17,INDIRECT("FN"&amp;GS16+1):$GS$34,0)+GS16,0)))</f>
        <v>0</v>
      </c>
      <c r="GT17" s="61">
        <f ca="1">IF(OR($GP17="",GQ17&lt;&gt;0,GR17&lt;&gt;0,GS17&lt;&gt;0,ISERROR(MATCH($GP17,$FO$11:$FO$32,0))=TRUE),0,IF(OR(AND(COUNTIF($FO$11:$FO$32,$GP17)=1,ISNA(MATCH(MATCH($GP17,$FO$11:$FO$32,0)+10,GT$11:GT16,0)=TRUE)),AND(COUNTIF($FO$11:$FO$32,$GP17)&gt;=2,$GP16&lt;&gt;$GP17)),MATCH($GP17,$FO$11:$FO$32,0)+10,IF(AND(COUNTIF($FO$11:$FO$32,$GP17)&gt;=2,COUNTIF(INDIRECT("GT$"&amp;MATCH($GP17,$GP$11:$GP17,0)+10):GT16,"&gt;0")&lt;COUNTIF($FO$11:$FO$32,$GP17)),MATCH($GP17,INDIRECT("FO"&amp;GT16+1):$FO$34,0)+GT16,0)))</f>
        <v>0</v>
      </c>
      <c r="GU17" s="61">
        <f t="shared" si="50"/>
      </c>
      <c r="GV17" s="1065">
        <f t="shared" si="51"/>
      </c>
      <c r="GW17" s="1065">
        <f t="shared" si="52"/>
      </c>
      <c r="GX17" s="1065">
        <f t="shared" si="53"/>
      </c>
      <c r="GY17" s="1065">
        <f t="shared" si="54"/>
      </c>
      <c r="GZ17" s="393"/>
      <c r="HA17" s="324"/>
      <c r="HB17" s="672"/>
      <c r="HC17" s="261">
        <f t="shared" si="86"/>
      </c>
      <c r="HD17" s="262">
        <f t="shared" si="87"/>
      </c>
      <c r="HE17" s="261"/>
      <c r="HF17" s="262"/>
      <c r="HG17" s="347">
        <f t="shared" si="88"/>
      </c>
      <c r="HH17" s="347">
        <f t="shared" si="89"/>
      </c>
      <c r="HI17" s="347">
        <f t="shared" si="90"/>
      </c>
      <c r="HJ17" s="347">
        <f t="shared" si="91"/>
      </c>
      <c r="HK17" s="565">
        <f t="shared" si="92"/>
      </c>
      <c r="HL17" s="420">
        <f t="shared" si="56"/>
      </c>
      <c r="HM17" s="494">
        <f t="shared" si="57"/>
      </c>
      <c r="HO17" s="74"/>
      <c r="HQ17" s="71">
        <f t="shared" si="58"/>
        <v>0</v>
      </c>
      <c r="HR17" s="71" t="str">
        <f t="shared" si="59"/>
        <v>0</v>
      </c>
    </row>
    <row r="18" spans="2:226" ht="15" customHeight="1">
      <c r="B18" s="812"/>
      <c r="C18" s="851"/>
      <c r="D18" s="337" t="str">
        <f>IF(Zulassung!D17="","",Zulassung!D17)</f>
        <v>GE</v>
      </c>
      <c r="E18" s="514">
        <f>IF(Zulassung!E17="","",Zulassung!E17)</f>
      </c>
      <c r="F18" s="515">
        <f>IF(Zulassung!F17="","",Zulassung!F17)</f>
        <v>3</v>
      </c>
      <c r="G18" s="516">
        <f>IF(Zulassung!G17="","",Zulassung!G17)</f>
        <v>3</v>
      </c>
      <c r="H18" s="827">
        <f>IF(Zulassung!H17="","",Zulassung!H17)</f>
      </c>
      <c r="I18" s="556">
        <f>IF(Zulassung!I17="","",Zulassung!I17)</f>
      </c>
      <c r="J18" s="556">
        <f>IF(Zulassung!J17="","",Zulassung!J17)</f>
      </c>
      <c r="K18" s="557">
        <f>IF(Zulassung!K17="","",Zulassung!K17)</f>
      </c>
      <c r="L18" s="371">
        <f t="shared" si="0"/>
        <v>0</v>
      </c>
      <c r="O18" s="681"/>
      <c r="P18" s="255"/>
      <c r="Q18" s="1535"/>
      <c r="R18" s="1535"/>
      <c r="S18" s="76"/>
      <c r="T18" s="842">
        <f t="shared" si="60"/>
        <v>0</v>
      </c>
      <c r="U18" s="842" t="str">
        <f t="shared" si="2"/>
        <v>0</v>
      </c>
      <c r="V18" s="842">
        <f t="shared" si="3"/>
        <v>0</v>
      </c>
      <c r="W18" s="842">
        <f t="shared" si="4"/>
        <v>0</v>
      </c>
      <c r="Y18" s="639" t="str">
        <f>IF(AND(OR(Z18="GE",Z18="SW"),COUNT(J18:K18)&gt;0,COUNTIF(H18:I18,"")=2),"F","W")</f>
        <v>W</v>
      </c>
      <c r="Z18" s="842" t="str">
        <f t="shared" si="61"/>
        <v>GE</v>
      </c>
      <c r="AA18" s="842">
        <f>IF(OR(AND(Zulassung!G17="",MAX(H18:K18)&gt;0),AND(H18="",MAX(I18:K18)&gt;0),AND(I18="",MAX(J18:K18)&gt;0),AND(J18="",K18&lt;&gt;"")),1,0)</f>
        <v>0</v>
      </c>
      <c r="AB18" s="842">
        <f aca="true" t="shared" si="94" ref="AB18:AB31">IF(OR(L18=0,L18=""),0,L18)</f>
        <v>0</v>
      </c>
      <c r="AC18" s="638">
        <f>IF(Z18="",0,IF(OR(Z18="GE",Z18="SW"),2,4))</f>
        <v>2</v>
      </c>
      <c r="AD18" s="842" t="str">
        <f>IF(D18="","",IF(OR($AB$18=4,$AB$19=4,$AB$20=4,$AB$21=4),"W",IF(AND(OR(AND($Z$29="PL",AB29=4),AND($Z$30="PL",AB30=4)),SUM($AB$18:$AB$23)&gt;=6),"W","F")))</f>
        <v>F</v>
      </c>
      <c r="AE18" s="842">
        <f t="shared" si="65"/>
        <v>0</v>
      </c>
      <c r="AH18" s="842">
        <f t="shared" si="66"/>
      </c>
      <c r="AI18" s="273"/>
      <c r="AJ18" s="289">
        <f t="shared" si="67"/>
      </c>
      <c r="AK18" s="842">
        <f>IF(AB18=4,Z18,"")</f>
      </c>
      <c r="AL18" s="255"/>
      <c r="AM18" s="842">
        <f>IF(E18&lt;&gt;"",Z18,IF(OR(AM29="PL",COUNT(E19:E20)&gt;0),"",IF(AND(AB18=4,AE18=MAX($AE$18:$AE$20),COUNTIF(AE18:AE20,MAX(AE18:AE20))&gt;1,AH18=MIN(AH18:AH20)),Z18,IF(AND(AB18=4,AE18=MAX($AE$18:$AE$20),COUNTIF(AE18:AE20,MAX(AE18:AE20))&gt;1),"",IF(AND(AB18=4,AE18=MAX($AE$18:$AE$20)),Z18,"")))))</f>
      </c>
      <c r="AN18" s="1107"/>
      <c r="AO18" s="1105">
        <f>IF($AM18&lt;&gt;"",H18,IF(AND(OR($Z18="GE",$Z18="SW",AND(MAX(AB18:AB20,AB29:AB30)&lt;4,OR(Z29="PL",Z30="PL"))),$AB18&gt;=2,OR($BG18=$BM$7,$BI18=$BM$7)),H18,IF($AB18=3,"",IF(AND($AB18=4,OR($BG18=$BM$7,$BI18=$BM$7)),H18,""))))</f>
      </c>
      <c r="AP18" s="1105">
        <f>IF($AM18&lt;&gt;"",I18,IF(AND(OR($Z18="GE",$Z18="SW",AND(MAX(AB18:AB20,AB29:AB30)&lt;4,OR(Z29="PL",Z30="PL"))),$AB18&gt;=2,OR($BG18=$BN$7,$BI18=$BN$7)),I18,IF($AB18=3,"",IF(AND($AB18=4,OR($BG18=$BN$7,$BI18=$BN$7)),I18,""))))</f>
      </c>
      <c r="AQ18" s="1105">
        <f>IF($AM18&lt;&gt;"",J18,IF(AND(OR($Z18="GE",$Z18="SW",AND(MAX(AB18:AB20,AB29:AB30)&lt;4,OR(Z29="PL",Z30="PL"))),$AB18&gt;=2,OR($BG18=$BO$7,$BI18=$BO$7)),J18,IF($AB18=3,"",IF(AND($AB18=4,OR($BG18=$BO$7,$BI18=$BO$7)),J18,""))))</f>
      </c>
      <c r="AR18" s="1105">
        <f>IF($AM18&lt;&gt;"",K18,IF(AND(OR($Z18="GE",$Z18="SW",AND(MAX(AB18:AB20,AB29:AB30)&lt;4,OR(Z29="PL",Z30="PL"))),$AB18&gt;=2,OR($BG18=$BP$7,$BI18=$BP$7)),K18,IF($AB18=3,"",IF(AND($AB18=4,OR($BG18=$BP$7,$BI18=$BP$7)),K18,""))))</f>
      </c>
      <c r="AS18" s="1239">
        <f>IF(ISNA(MATCH("PL",$Z$18:$Z$30,0))=TRUE,"",IF(OR(ISERROR(LARGE($AT$18:$AW$21,1))=TRUE,VLOOKUP("PL",$Z$18:$AJ$30,11,FALSE)=""),"",IF(COUNT(AT18:AW18)&lt;2,"",LARGE(AT18:AW18,1)+LARGE(AT18:AW18,2))))</f>
      </c>
      <c r="AT18" s="1105">
        <f aca="true" t="shared" si="95" ref="AT18:AW21">IF(OR(AO18&lt;&gt;"",H18="",$AA18&lt;&gt;0),"",H18)</f>
      </c>
      <c r="AU18" s="1105">
        <f t="shared" si="95"/>
      </c>
      <c r="AV18" s="1105">
        <f t="shared" si="95"/>
      </c>
      <c r="AW18" s="1105">
        <f t="shared" si="95"/>
      </c>
      <c r="AX18" s="61"/>
      <c r="AY18" s="248" t="s">
        <v>438</v>
      </c>
      <c r="AZ18" s="1111">
        <f ca="1">IF(OR($AY19="",ISERROR(MATCH($AY19,AT18:AW18,0)=TRUE),AS22&lt;&gt;18),0,MATCH($AY$19,INDIRECT("AT"&amp;$AS$22&amp;":AW"&amp;$AS$22),0)+45)</f>
        <v>0</v>
      </c>
      <c r="BA18" s="1112">
        <f ca="1">IF(OR($AY$20="",ISERROR(MATCH($AY$20,$AT$18:$AW$18,0)=TRUE),AS22&lt;&gt;18),0,IF($AY$20&lt;&gt;$AY$19,MATCH($AY$20,INDIRECT("AT"&amp;AS22&amp;":AW"&amp;AS22),0)+45,MATCH($AY$20,INDIRECT("AT"&amp;AS22&amp;":AW"&amp;AS22),0)+AZ22))</f>
        <v>0</v>
      </c>
      <c r="BB18" s="248"/>
      <c r="BC18" s="248"/>
      <c r="BD18" s="61" t="s">
        <v>501</v>
      </c>
      <c r="BE18" s="61"/>
      <c r="BF18" s="61"/>
      <c r="BG18" s="842">
        <f>IF(BH18="","",MATCH(BH18,H18:K18,0))</f>
      </c>
      <c r="BH18" s="247">
        <f>IF(AND(OR(Z18="GE",Z18="SW",AND(MAX($AB$18:$AB$21)&lt;4,OR($Z$29="PL",$Z$30="PL"))),AB18&gt;=2),MAX(H18:K18),"")</f>
      </c>
      <c r="BI18" s="842">
        <f t="shared" si="68"/>
      </c>
      <c r="BJ18" s="247">
        <f>IF(AND(OR(Z18="GE",Z18="SW",AND(MAX($AB$18:$AB$21)&lt;4,OR($Z$29="PL",$Z$30="PL"))),AB18&gt;=2,BG18=1),MAX(I18:K18),IF(AND(OR(Z18="GE",Z18="SW",AND(MAX($AB$18:$AB$21)&lt;4,OR($Z$29="PL",$Z$30="PL"))),AB18&gt;=2,BG18=2),MAX(H18,J18,K18),IF(AND(OR(Z18="GE",Z18="SW",AND(MAX($AB$18:$AB$21)&lt;4,OR($Z$29="PL",$Z$30="PL"))),AB18&gt;=2,BG18=3),MAX(H18,I18,K18),IF(AND(OR(Z18="GE",Z18="SW",AND(MAX($AB$18:$AB$21)&lt;4,OR($Z$29="PL",$Z$30="PL"))),AB18&gt;=2,BG18=4),MAX(H18:J18),""))))</f>
      </c>
      <c r="BK18" s="248">
        <f>IF(AND(Z18="GE",AB18=1,AT18&gt;MIN($J$22:$K$22)),AT18,"")</f>
      </c>
      <c r="BL18" s="255">
        <f>IF(AND(Z18="SW",AB18=1,AT18&gt;MIN($J$23:$K$23)),AT18,"")</f>
      </c>
      <c r="BM18" s="842">
        <f>IF(AND(Z18="GE",BK22&lt;&gt;0),AT18,IF(OR(AO18&lt;&gt;"",$BD$19=""),AO18,IF(OR(AND(LEFT($BD$19,2)="AT",RIGHT($BD$19,2)="18"),AND(LEFT($BD$20,2)="AT",RIGHT($BD$20,2)="18")),AT18,AO18)))</f>
      </c>
      <c r="BN18" s="842">
        <f>IF(OR(AP18&lt;&gt;"",$BD$19=""),AP18,IF(OR(AND(LEFT($BD$19,2)="AU",RIGHT($BD$19,2)="18"),AND(LEFT($BD$20,2)="AU",RIGHT($BD$20,2)="18")),AU18,AP18))</f>
      </c>
      <c r="BO18" s="842">
        <f>IF(OR(AQ18&lt;&gt;"",$BD$19=""),AQ18,IF(OR(AND(LEFT($BD$19,2)="AV",RIGHT($BD$19,2)="18"),AND(LEFT($BD$20,2)="AV",RIGHT($BD$20,2)="18")),AV18,AQ18))</f>
      </c>
      <c r="BP18" s="842">
        <f>IF(OR(AR18&lt;&gt;"",$BD$19=""),AR18,IF(OR(AND(LEFT($BD$19,2)="AW",RIGHT($BD$19,2)="18"),AND(LEFT($BD$20,2)="AW",RIGHT($BD$20,2)="18")),AW18,AR18))</f>
      </c>
      <c r="BQ18" s="247">
        <f t="shared" si="69"/>
        <v>0</v>
      </c>
      <c r="BR18" s="567">
        <f t="shared" si="5"/>
        <v>0</v>
      </c>
      <c r="BS18" s="567">
        <f t="shared" si="62"/>
        <v>0</v>
      </c>
      <c r="BT18" s="842">
        <f aca="true" t="shared" si="96" ref="BT18:BW20">IF(OR(BM18&lt;&gt;"",H18="",$AA18&lt;&gt;0),"",H18)</f>
      </c>
      <c r="BU18" s="842">
        <f t="shared" si="96"/>
      </c>
      <c r="BV18" s="842">
        <f t="shared" si="96"/>
      </c>
      <c r="BW18" s="842">
        <f t="shared" si="96"/>
      </c>
      <c r="BX18" s="327"/>
      <c r="BY18" s="1072">
        <f t="shared" si="8"/>
      </c>
      <c r="BZ18" s="393"/>
      <c r="CA18" s="842">
        <f t="shared" si="9"/>
      </c>
      <c r="CB18" s="842">
        <f t="shared" si="10"/>
      </c>
      <c r="CC18" s="842">
        <f t="shared" si="11"/>
      </c>
      <c r="CD18" s="842">
        <f t="shared" si="12"/>
      </c>
      <c r="CE18" s="919"/>
      <c r="CF18" s="1033">
        <f t="shared" si="13"/>
      </c>
      <c r="CG18" s="1033">
        <f t="shared" si="14"/>
      </c>
      <c r="CH18" s="1033">
        <f t="shared" si="15"/>
      </c>
      <c r="CI18" s="1033">
        <f t="shared" si="16"/>
      </c>
      <c r="CJ18" s="393"/>
      <c r="CK18" s="919"/>
      <c r="CL18" s="393"/>
      <c r="CM18" s="684"/>
      <c r="CN18" s="672"/>
      <c r="CO18" s="259" t="str">
        <f t="shared" si="17"/>
        <v>GE</v>
      </c>
      <c r="CP18" s="260">
        <f t="shared" si="18"/>
      </c>
      <c r="CQ18" s="259"/>
      <c r="CR18" s="260"/>
      <c r="CS18" s="345">
        <f t="shared" si="72"/>
      </c>
      <c r="CT18" s="345">
        <f t="shared" si="72"/>
      </c>
      <c r="CU18" s="345">
        <f t="shared" si="72"/>
      </c>
      <c r="CV18" s="345">
        <f t="shared" si="72"/>
      </c>
      <c r="CW18" s="257">
        <f t="shared" si="73"/>
        <v>0</v>
      </c>
      <c r="CX18" s="69">
        <f t="shared" si="20"/>
        <v>0</v>
      </c>
      <c r="CY18" s="70">
        <f t="shared" si="21"/>
      </c>
      <c r="CZ18" s="39"/>
      <c r="DA18" s="802"/>
      <c r="DB18" s="802"/>
      <c r="DC18" s="387"/>
      <c r="DD18" s="33"/>
      <c r="DE18" s="71">
        <f t="shared" si="22"/>
        <v>0</v>
      </c>
      <c r="DF18" s="71" t="str">
        <f t="shared" si="23"/>
        <v>0</v>
      </c>
      <c r="DG18" s="393"/>
      <c r="DH18" s="393"/>
      <c r="DI18" s="919"/>
      <c r="DJ18" s="393"/>
      <c r="DK18" s="642">
        <f t="shared" si="74"/>
      </c>
      <c r="DL18" s="642">
        <f t="shared" si="74"/>
      </c>
      <c r="DM18" s="642">
        <f t="shared" si="74"/>
      </c>
      <c r="DN18" s="642">
        <f t="shared" si="74"/>
      </c>
      <c r="DO18" s="919"/>
      <c r="DP18" s="393"/>
      <c r="DQ18" s="684"/>
      <c r="DR18" s="672"/>
      <c r="DS18" s="259" t="str">
        <f t="shared" si="25"/>
        <v>GE</v>
      </c>
      <c r="DT18" s="260">
        <f t="shared" si="26"/>
      </c>
      <c r="DU18" s="259"/>
      <c r="DV18" s="260"/>
      <c r="DW18" s="345">
        <f t="shared" si="75"/>
      </c>
      <c r="DX18" s="345">
        <f t="shared" si="75"/>
      </c>
      <c r="DY18" s="345">
        <f t="shared" si="75"/>
      </c>
      <c r="DZ18" s="345">
        <f t="shared" si="75"/>
      </c>
      <c r="EA18" s="257">
        <f t="shared" si="76"/>
        <v>0</v>
      </c>
      <c r="EB18" s="69">
        <f t="shared" si="28"/>
        <v>0</v>
      </c>
      <c r="EC18" s="70">
        <f t="shared" si="29"/>
      </c>
      <c r="ED18" s="39"/>
      <c r="EE18" s="802"/>
      <c r="EF18" s="802"/>
      <c r="EG18" s="71">
        <f t="shared" si="30"/>
        <v>0</v>
      </c>
      <c r="EH18" s="71" t="str">
        <f t="shared" si="31"/>
        <v>0</v>
      </c>
      <c r="EI18" s="393"/>
      <c r="EJ18" s="393"/>
      <c r="EK18" s="393"/>
      <c r="EL18" s="393"/>
      <c r="EM18" s="393"/>
      <c r="EN18" s="568" t="s">
        <v>386</v>
      </c>
      <c r="EO18" s="574">
        <f t="shared" si="77"/>
      </c>
      <c r="EP18" s="572">
        <f t="shared" si="77"/>
      </c>
      <c r="EQ18" s="572">
        <f t="shared" si="77"/>
      </c>
      <c r="ER18" s="575">
        <f t="shared" si="77"/>
      </c>
      <c r="ES18" s="391">
        <f t="shared" si="34"/>
        <v>0</v>
      </c>
      <c r="ET18" s="391"/>
      <c r="EU18" s="578">
        <f t="shared" si="78"/>
      </c>
      <c r="EV18" s="578">
        <f t="shared" si="78"/>
      </c>
      <c r="EW18" s="578">
        <f t="shared" si="78"/>
      </c>
      <c r="EX18" s="578">
        <f t="shared" si="78"/>
      </c>
      <c r="EY18" s="685"/>
      <c r="EZ18" s="579"/>
      <c r="FA18" s="962">
        <f t="shared" si="1"/>
        <v>0</v>
      </c>
      <c r="FB18" s="962">
        <f t="shared" si="36"/>
        <v>0</v>
      </c>
      <c r="FC18" s="684"/>
      <c r="FD18" s="33" t="e">
        <f>IF(FD17="","",IF(OR(COUNT($EO$10:$ER$30)+FD17&lt;38,AND(MAX($FD$11:FD17)+$ET$37&lt;40,AND(ET44&lt;40,FF18&gt;EV44))),FD17+1,""))</f>
        <v>#NUM!</v>
      </c>
      <c r="FE18" s="248">
        <v>8</v>
      </c>
      <c r="FF18" s="33">
        <f t="shared" si="93"/>
      </c>
      <c r="FG18" s="33">
        <f ca="1">IF(OR($FF18="",ISERROR(MATCH($FF18,EX$11:EX$32,0))=TRUE),0,IF(OR(AND(COUNTIF(EX$11:EX$32,$FF18)=1,ISNA(MATCH(MATCH($FF18,EX$11:EX$32,0)+10,FG$11:FG17,0)=TRUE)),AND(COUNTIF(EX$11:EX$32,$FF18)&gt;=2,$FF17&lt;&gt;$FF18)),MATCH($FF18,EX$11:EX$32,0)+10,IF(AND(COUNTIF(EX$11:EX$32,$FF18)&gt;=2,COUNTIF(INDIRECT("FG$"&amp;MATCH($FF18,$FF$11:$FF18,0)+10):FG17,"&gt;0")&lt;COUNTIF(EX$11:EX$32,$FF18)),MATCH($FF18,INDIRECT("EX"&amp;FG17+1):$EX$34,0)+FG17,0)))</f>
        <v>0</v>
      </c>
      <c r="FH18" s="33">
        <f ca="1">IF(OR($FF18="",FG18&lt;&gt;0,ISERROR(MATCH($FF18,$EW$11:$EW$32,0))=TRUE),0,IF(OR(AND(COUNTIF($EW$11:$EW$32,$FF18)=1,ISNA(MATCH(MATCH($FF18,$EW$11:$EW$32,0)+10,FH$11:FH17,0)=TRUE)),AND(COUNTIF($EW$11:$EW$32,$FF18)&gt;=2,$FF17&lt;&gt;$FF18)),MATCH($FF18,$EW$11:$EW$32,0)+10,IF(AND(COUNTIF($EW$11:$EW$32,$FF18)&gt;=2,COUNTIF(INDIRECT("FH$"&amp;MATCH($FF18,$FF$11:$FF18,0)+10):FH17,"&gt;0")&lt;COUNTIF($EW$11:$EW$32,$FF18)),MATCH($FF18,INDIRECT("EW"&amp;FH17+1):$EW$34,0)+FH17,0)))</f>
        <v>0</v>
      </c>
      <c r="FI18" s="33">
        <f ca="1">IF(OR($FF18="",FG18&lt;&gt;0,FH18&lt;&gt;0,ISERROR(MATCH($FF18,EV$11:EV$32,0))=TRUE),0,IF(OR(AND(COUNTIF(EV$11:EV$32,$FF18)=1,ISNA(MATCH(MATCH($FF18,EV$11:EV$32,0)+10,FI$11:FI17,0)=TRUE)),AND(COUNTIF(EV$11:EV$32,$FF18)&gt;=2,$FF17&lt;&gt;$FF18)),MATCH($FF18,EV$11:EV$32,0)+10,IF(AND(COUNTIF(EV$11:EV$32,$FF18)&gt;=2,COUNTIF(INDIRECT("FI$"&amp;MATCH($FF18,$FF$11:$FF18,0)+10):FI17,"&gt;0")&lt;COUNTIF(EV$11:EV$32,$FF18)),MATCH($FF18,INDIRECT("EV"&amp;FI17+1):$EV$34,0)+FI17,0)))</f>
        <v>0</v>
      </c>
      <c r="FJ18" s="33">
        <f ca="1">IF(OR($FF18="",FG18&lt;&gt;0,FH18&lt;&gt;0,FI18&lt;&gt;0,ISERROR(MATCH($FF18,$EU$11:$EU$32,0))=TRUE),0,IF(OR(AND(COUNTIF($EU$11:$EU$32,$FF18)=1,ISNA(MATCH(MATCH($FF18,$EU$11:$EU$32,0)+10,FJ$11:FJ17,0)=TRUE)),AND(COUNTIF($EU$11:$EU$32,$FF18)&gt;=2,$FF17&lt;&gt;$FF18)),MATCH($FF18,$EU$11:$EU$32,0)+10,IF(AND(COUNTIF($EU$11:$EU$32,$FF18)&gt;=2,COUNTIF(INDIRECT("FJ$"&amp;MATCH($FF18,$FF$11:$FF18,0)+10):FJ17,"&gt;0")&lt;COUNTIF($EU$11:$EU$32,$FF18)),MATCH($FF18,INDIRECT("EU"&amp;FJ17+1):$EU$34,0)+FJ17,0)))</f>
        <v>0</v>
      </c>
      <c r="FK18" s="61" t="str">
        <f t="shared" si="63"/>
        <v>EU0</v>
      </c>
      <c r="FL18" s="842">
        <f t="shared" si="38"/>
      </c>
      <c r="FM18" s="842">
        <f t="shared" si="39"/>
      </c>
      <c r="FN18" s="842">
        <f t="shared" si="40"/>
      </c>
      <c r="FO18" s="842">
        <f t="shared" si="41"/>
      </c>
      <c r="FP18" s="255" t="e">
        <f t="shared" si="64"/>
        <v>#NUM!</v>
      </c>
      <c r="FQ18" s="917">
        <f ca="1">IF(AND(RIGHT(FK17,2)="31",COUNTA($FQ$11:FQ17)-COUNTIF($FQ$11:FQ17,"")=0),ADDRESS(31,COLUMN(INDIRECT(FK17))-1,4),"")</f>
      </c>
      <c r="FR18" s="917">
        <f t="shared" si="42"/>
      </c>
      <c r="FS18" s="917" t="e">
        <f>IF(FQ18&lt;&gt;"",FQ18,IF(FP18="","",IF(COUNTA($FQ$11:FQ17)-COUNTIF($FQ$11:FQ17,"")&lt;&gt;1,VLOOKUP(FP18,$FD$11:$FK$23,8,FALSE),VLOOKUP(FP18-1,$FE$11:$FK$23,7,FALSE))))</f>
        <v>#NUM!</v>
      </c>
      <c r="FT18" s="938" t="e">
        <f>IF(AND($FR$26&gt;MAX($FP$11:$FP$22),FP18=$FR$26-2,$FR$26-1=MAX($FP$11:$FP$22)),"",IF(AND(FS18&lt;&gt;"",ISNA(MATCH(FS18,$FT$11:FT17,0))=FALSE),FK18,FS18))</f>
        <v>#NUM!</v>
      </c>
      <c r="FU18" s="255"/>
      <c r="FV18" s="672"/>
      <c r="FW18" s="259" t="str">
        <f t="shared" si="79"/>
        <v>GE</v>
      </c>
      <c r="FX18" s="260">
        <f t="shared" si="80"/>
      </c>
      <c r="FY18" s="259"/>
      <c r="FZ18" s="260"/>
      <c r="GA18" s="345">
        <f t="shared" si="81"/>
      </c>
      <c r="GB18" s="345">
        <f t="shared" si="82"/>
      </c>
      <c r="GC18" s="345">
        <f t="shared" si="83"/>
      </c>
      <c r="GD18" s="345">
        <f t="shared" si="84"/>
      </c>
      <c r="GE18" s="257">
        <f t="shared" si="85"/>
        <v>0</v>
      </c>
      <c r="GF18" s="69">
        <f t="shared" si="44"/>
        <v>0</v>
      </c>
      <c r="GG18" s="70">
        <f t="shared" si="45"/>
      </c>
      <c r="GH18" s="39"/>
      <c r="GI18" s="802"/>
      <c r="GJ18" s="802"/>
      <c r="GK18" s="71">
        <f t="shared" si="46"/>
        <v>0</v>
      </c>
      <c r="GL18" s="71" t="str">
        <f t="shared" si="47"/>
        <v>0</v>
      </c>
      <c r="GM18" s="71"/>
      <c r="GN18" s="71">
        <f t="shared" si="48"/>
      </c>
      <c r="GO18" s="71">
        <v>8</v>
      </c>
      <c r="GP18" s="71">
        <f t="shared" si="49"/>
      </c>
      <c r="GQ18" s="61">
        <f ca="1">IF(OR($GP18="",ISERROR(MATCH($GP18,$FL$11:$FL$32,0))=TRUE),0,IF(OR(AND(COUNTIF($FL$11:$FL$32,$GP18)=1,ISNA(MATCH(MATCH($GP18,$FL$11:$FL$32,0)+10,GQ$11:GQ17,0)=TRUE)),AND(COUNTIF($FL$11:$FL$32,$GP18)&gt;=2,$GP17&lt;&gt;$GP18)),MATCH($GP18,$FL$11:$FL$32,0)+10,IF(AND(COUNTIF($FL$11:$FL$32,$GP18)&gt;=2,COUNTIF(INDIRECT("GQ$"&amp;MATCH($GP18,$GP$11:$GP18,0)+10):GQ17,"&gt;0")&lt;COUNTIF($FL$11:$FL$32,$GP18)),MATCH($GP18,INDIRECT("FL"&amp;GQ17+1):$FL$34,0)+GQ17,0)))</f>
        <v>0</v>
      </c>
      <c r="GR18" s="61">
        <f ca="1">IF(OR($GP18="",GQ18&lt;&gt;0,ISERROR(MATCH($GP18,$FM$11:$FM$32,0))=TRUE),0,IF(OR(AND(COUNTIF($FM$11:$FM$32,$GP18)=1,ISNA(MATCH(MATCH($GP18,$FM$11:$FM$32,0)+10,GR$11:GR17,0)=TRUE)),AND(COUNTIF($FM$11:$FM$32,$GP18)&gt;=2,$GP17&lt;&gt;$GP18)),MATCH($GP18,$FM$11:$FM$32,0)+10,IF(AND(COUNTIF($FM$11:$FM$32,$GP18)&gt;=2,COUNTIF(INDIRECT("GR$"&amp;MATCH($GP18,$GP$11:$GP18,0)+10):GR17,"&gt;0")&lt;COUNTIF($FM$11:$FM$32,$GP18)),MATCH($GP18,INDIRECT("FM"&amp;GR17+1):$FM$34,0)+GR17,0)))</f>
        <v>0</v>
      </c>
      <c r="GS18" s="61">
        <f ca="1">IF(OR($GP18="",GQ18&lt;&gt;0,GR18&lt;&gt;0,ISERROR(MATCH($GP18,$FN$11:$FN$32,0))=TRUE),0,IF(OR(AND(COUNTIF($FN$11:$FN$32,$GP18)=1,ISNA(MATCH(MATCH($GP18,$FN$11:$FN$32,0)+10,GS$11:GS17,0)=TRUE)),AND(COUNTIF($FN$11:$FN$32,$GP18)&gt;=2,$GP17&lt;&gt;$GP18)),MATCH($GP18,$FN$11:$FN$32,0)+10,IF(AND(COUNTIF($FN$11:$FN$32,$GP18)&gt;=2,COUNTIF(INDIRECT("GS$"&amp;MATCH($GP18,$GP$11:$GP18,0)+10):GS17,"&gt;0")&lt;COUNTIF($FN$11:$FN$32,$GP18)),MATCH($GP18,INDIRECT("FN"&amp;GS17+1):$GS$34,0)+GS17,0)))</f>
        <v>0</v>
      </c>
      <c r="GT18" s="61">
        <f ca="1">IF(OR($GP18="",GQ18&lt;&gt;0,GR18&lt;&gt;0,GS18&lt;&gt;0,ISERROR(MATCH($GP18,$FO$11:$FO$32,0))=TRUE),0,IF(OR(AND(COUNTIF($FO$11:$FO$32,$GP18)=1,ISNA(MATCH(MATCH($GP18,$FO$11:$FO$32,0)+10,GT$11:GT17,0)=TRUE)),AND(COUNTIF($FO$11:$FO$32,$GP18)&gt;=2,$GP17&lt;&gt;$GP18)),MATCH($GP18,$FO$11:$FO$32,0)+10,IF(AND(COUNTIF($FO$11:$FO$32,$GP18)&gt;=2,COUNTIF(INDIRECT("GT$"&amp;MATCH($GP18,$GP$11:$GP18,0)+10):GT17,"&gt;0")&lt;COUNTIF($FO$11:$FO$32,$GP18)),MATCH($GP18,INDIRECT("FO"&amp;GT17+1):$FO$34,0)+GT17,0)))</f>
        <v>0</v>
      </c>
      <c r="GU18" s="61">
        <f t="shared" si="50"/>
      </c>
      <c r="GV18" s="1065">
        <f t="shared" si="51"/>
      </c>
      <c r="GW18" s="1065">
        <f t="shared" si="52"/>
      </c>
      <c r="GX18" s="1065">
        <f t="shared" si="53"/>
      </c>
      <c r="GY18" s="1065">
        <f t="shared" si="54"/>
      </c>
      <c r="GZ18" s="393"/>
      <c r="HA18" s="324"/>
      <c r="HB18" s="672"/>
      <c r="HC18" s="259" t="str">
        <f t="shared" si="86"/>
        <v>GE</v>
      </c>
      <c r="HD18" s="260">
        <f t="shared" si="87"/>
      </c>
      <c r="HE18" s="259"/>
      <c r="HF18" s="260"/>
      <c r="HG18" s="345">
        <f t="shared" si="88"/>
      </c>
      <c r="HH18" s="345">
        <f t="shared" si="89"/>
      </c>
      <c r="HI18" s="345">
        <f t="shared" si="90"/>
      </c>
      <c r="HJ18" s="345">
        <f t="shared" si="91"/>
      </c>
      <c r="HK18" s="257">
        <f t="shared" si="92"/>
        <v>0</v>
      </c>
      <c r="HL18" s="69">
        <f t="shared" si="56"/>
        <v>0</v>
      </c>
      <c r="HM18" s="70">
        <f t="shared" si="57"/>
      </c>
      <c r="HN18" s="39"/>
      <c r="HO18" s="802"/>
      <c r="HP18" s="802"/>
      <c r="HQ18" s="71">
        <f t="shared" si="58"/>
        <v>0</v>
      </c>
      <c r="HR18" s="71" t="str">
        <f t="shared" si="59"/>
        <v>0</v>
      </c>
    </row>
    <row r="19" spans="2:226" ht="15" customHeight="1">
      <c r="B19" s="812"/>
      <c r="C19" s="852"/>
      <c r="D19" s="337" t="str">
        <f>IF(Zulassung!D18="","",Zulassung!D18)</f>
        <v>PA</v>
      </c>
      <c r="E19" s="514">
        <f>IF(Zulassung!E18="","",Zulassung!E18)</f>
      </c>
      <c r="F19" s="515">
        <f>IF(Zulassung!F18="","",Zulassung!F18)</f>
        <v>3</v>
      </c>
      <c r="G19" s="516">
        <f>IF(Zulassung!G18="","",Zulassung!G18)</f>
        <v>3</v>
      </c>
      <c r="H19" s="550">
        <f>IF(Zulassung!H18="","",Zulassung!H18)</f>
      </c>
      <c r="I19" s="551">
        <f>IF(Zulassung!I18="","",Zulassung!I18)</f>
      </c>
      <c r="J19" s="551">
        <f>IF(Zulassung!J18="","",Zulassung!J18)</f>
      </c>
      <c r="K19" s="552">
        <f>IF(Zulassung!K18="","",Zulassung!K18)</f>
      </c>
      <c r="L19" s="370">
        <f t="shared" si="0"/>
        <v>0</v>
      </c>
      <c r="O19" s="681"/>
      <c r="P19" s="255"/>
      <c r="Q19" s="1536"/>
      <c r="R19" s="1536"/>
      <c r="S19" s="47"/>
      <c r="T19" s="842">
        <f t="shared" si="60"/>
        <v>0</v>
      </c>
      <c r="U19" s="842" t="str">
        <f t="shared" si="2"/>
        <v>0</v>
      </c>
      <c r="V19" s="842">
        <f t="shared" si="3"/>
        <v>0</v>
      </c>
      <c r="W19" s="842">
        <f t="shared" si="4"/>
        <v>0</v>
      </c>
      <c r="Y19" s="639" t="str">
        <f>IF(AND(OR(Z19="GE",Z19="SW"),COUNT(J19:K19)&gt;0,COUNTIF(H19:I19,"")=2),"F","W")</f>
        <v>W</v>
      </c>
      <c r="Z19" s="842" t="str">
        <f t="shared" si="61"/>
        <v>PA</v>
      </c>
      <c r="AA19" s="842">
        <f>IF(OR(AND(Zulassung!G18="",MAX(H19:K19)&gt;0),AND(H19="",MAX(I19:K19)&gt;0),AND(I19="",MAX(J19:K19)&gt;0),AND(J19="",K19&lt;&gt;"")),1,0)</f>
        <v>0</v>
      </c>
      <c r="AB19" s="842">
        <f t="shared" si="94"/>
        <v>0</v>
      </c>
      <c r="AC19" s="512">
        <f>IF(Z19="",0,IF(OR(Z19="GE",Z19="SW"),2,4))</f>
        <v>4</v>
      </c>
      <c r="AD19" s="842" t="str">
        <f>IF(D19="","",IF(OR($AB$18=4,$AB$19=4,$AB$20=4,$AB$21=4),"W",IF(AND(OR(AND($Z$29="PL",AB29=4),AND($Z$30="PL",AB30=4)),SUM($AB$18:$AB$23)&gt;=6),"W","F")))</f>
        <v>F</v>
      </c>
      <c r="AE19" s="842">
        <f t="shared" si="65"/>
        <v>0</v>
      </c>
      <c r="AH19" s="842">
        <f t="shared" si="66"/>
      </c>
      <c r="AI19" s="273"/>
      <c r="AJ19" s="289">
        <f t="shared" si="67"/>
      </c>
      <c r="AK19" s="842">
        <f>IF(AB19=4,Z19,"")</f>
      </c>
      <c r="AL19" s="255"/>
      <c r="AM19" s="842">
        <f>IF(E19&lt;&gt;"",Z19,IF(OR(AM29="PL",COUNT(E18)+COUNT(E20)&gt;0),"",IF(AND(AB19=4,AE19=MAX($AE$18:$AE$20),COUNTIF(AE18:AE20,MAX(AE18:AE20))&gt;1,AH19=MIN(AH18:AH20)),Z19,IF(AND(AB19=4,AE19=MAX($AE$18:$AE$20),COUNTIF(AE18:AE20,MAX(AE18:AE20))&gt;1),"",IF(AND(AB19=4,AE19=MAX($AE$18:$AE$20)),Z19,"")))))</f>
      </c>
      <c r="AN19" s="1108" t="s">
        <v>72</v>
      </c>
      <c r="AO19" s="1105">
        <f>IF($AM19&lt;&gt;"",H19,IF(AND(OR($Z19="GE",$Z19="SW",AND(MAX(AB18:AB20,AB29:AB30)&lt;4,OR(Z29="PL",Z30="PL"))),$AB19&gt;=2,OR($BG19=$BM$7,$BI19=$BM$7)),H19,IF($AB19=3,"",IF(AND($AB19=4,OR($BG19=$BM$7,$BI19=$BM$7)),H19,""))))</f>
      </c>
      <c r="AP19" s="1105">
        <f>IF($AM19&lt;&gt;"",I19,IF(AND(OR($Z19="GE",$Z19="SW",AND(MAX(AB18:AB20,AB29:AB30)&lt;4,OR(Z29="PL",Z30="PL"))),$AB19&gt;=2,OR($BG19=$BN$7,$BI19=$BN$7)),I19,IF($AB19=3,"",IF(AND($AB19=4,OR($BG19=$BN$7,$BI19=$BN$7)),I19,""))))</f>
      </c>
      <c r="AQ19" s="1105">
        <f>IF($AM19&lt;&gt;"",J19,IF(AND(OR($Z19="GE",$Z19="SW",AND(MAX(AB18:AB20,AB29:AB30)&lt;4,OR(Z29="PL",Z30="PL"))),$AB19&gt;=2,OR($BG19=$BO$7,$BI19=$BO$7)),J19,IF($AB19=3,"",IF(AND($AB19=4,OR($BG19=$BO$7,$BI19=$BO$7)),J19,""))))</f>
      </c>
      <c r="AR19" s="1105">
        <f>IF($AM19&lt;&gt;"",K19,IF(AND(OR($Z19="GE",$Z19="SW",AND(MAX(AB18:AB20,AB29:AB30)&lt;4,OR(Z29="PL",Z30="PL"))),$AB19&gt;=2,OR($BG19=$BP$7,$BI19=$BP$7)),K19,IF($AB19=3,"",IF(AND($AB19=4,OR($BG19=$BP$7,$BI19=$BP$7)),K19,""))))</f>
      </c>
      <c r="AS19" s="1239">
        <f>IF(ISNA(MATCH("PL",$Z$18:$Z$30,0))=TRUE,"",IF(OR(ISERROR(LARGE($AT$18:$AW$21,1))=TRUE,VLOOKUP("PL",$Z$18:$AJ$30,11,FALSE)=""),"",IF(COUNT(AT19:AW19)&lt;2,"",LARGE(AT19:AW19,1)+LARGE(AT19:AW19,2))))</f>
      </c>
      <c r="AT19" s="1105">
        <f t="shared" si="95"/>
      </c>
      <c r="AU19" s="1105">
        <f t="shared" si="95"/>
      </c>
      <c r="AV19" s="1105">
        <f t="shared" si="95"/>
      </c>
      <c r="AW19" s="1105">
        <f t="shared" si="95"/>
      </c>
      <c r="AX19" s="61">
        <v>1</v>
      </c>
      <c r="AY19" s="1111">
        <f ca="1">IF(OR(ISNA(MATCH("PL",Z18:Z30,0))=TRUE,AS22=""),"",IF(OR(ISERROR(LARGE(AT18:AW21,1))=TRUE,VLOOKUP("PL",Z18:AJ30,11,FALSE)=""),"",LARGE(INDIRECT("AT"&amp;AS22&amp;":AW"&amp;AS22),1)))</f>
      </c>
      <c r="AZ19" s="1111">
        <f ca="1">IF(OR($AZ$18&lt;&gt;0,$AY$19="",ISERROR(MATCH($AY$19,$AT$19:$AW$19,0)=TRUE),AS22&lt;&gt;19),0,MATCH($AY$19,INDIRECT("AT"&amp;$AS$22&amp;":AW"&amp;$AS$22),0)+45)</f>
        <v>0</v>
      </c>
      <c r="BA19" s="1112">
        <f ca="1">IF(OR(BA18&lt;&gt;0,$AY$20="",ISERROR(MATCH($AY$20,AT19:AW19,0)=TRUE),AS22&lt;&gt;19),0,IF($AY$20&lt;&gt;$AY$19,MATCH($AY$20,AT19:AW19,0)+45,MATCH($AY$20,INDIRECT(ADDRESS(19,AZ22,4)):AW19,0)+AZ19))</f>
        <v>0</v>
      </c>
      <c r="BB19" s="248"/>
      <c r="BC19" s="248"/>
      <c r="BD19" s="1111">
        <f>IF(AY19="","",ADDRESS(MATCH(AZ22,AZ18:AZ21,0)+17,AZ22,4))</f>
      </c>
      <c r="BE19" s="61">
        <f ca="1">IF(BD19="","",INDIRECT("Z"&amp;RIGHT(BD19,2)))</f>
      </c>
      <c r="BF19" s="61">
        <f ca="1">IF(AZ22=0,"",INDIRECT(ADDRESS(9,AZ22-38,1)))</f>
      </c>
      <c r="BG19" s="842">
        <f>IF(BH19="","",MATCH(BH19,H19:K19,0))</f>
      </c>
      <c r="BH19" s="247">
        <f>IF(AND(OR(Z19="GE",Z19="SW",AND(MAX($AB$18:$AB$21)&lt;4,OR($Z$29="PL",$Z$30="PL"))),AB19&gt;=2),MAX(H19:K19),"")</f>
      </c>
      <c r="BI19" s="842">
        <f t="shared" si="68"/>
      </c>
      <c r="BJ19" s="247">
        <f>IF(AND(OR(Z19="GE",Z19="SW",AND(MAX($AB$18:$AB$21)&lt;4,OR($Z$29="PL",$Z$30="PL"))),AB19&gt;=2,BG19=1),MAX(I19:K19),IF(AND(OR(Z19="GE",Z19="SW",AND(MAX($AB$18:$AB$21)&lt;4,OR($Z$29="PL",$Z$30="PL"))),AB19&gt;=2,BG19=2),MAX(H19,J19,K19),IF(AND(OR(Z19="GE",Z19="SW",AND(MAX($AB$18:$AB$21)&lt;4,OR($Z$29="PL",$Z$30="PL"))),AB19&gt;=2,BG19=3),MAX(H19,I19,K19),IF(AND(OR(Z19="GE",Z19="SW",AND(MAX($AB$18:$AB$21)&lt;4,OR($Z$29="PL",$Z$30="PL"))),AB19&gt;=2,BG19=4),MAX(H19:J19),""))))</f>
      </c>
      <c r="BK19" s="248">
        <f>IF(AND(Z19="GE",AB19=1,AT19&gt;MIN($J$22:$K$22)),AT19,"")</f>
      </c>
      <c r="BL19" s="255">
        <f>IF(AND(Z19="SW",AB19=1,AT19&gt;MIN($J$23:$K$23)),AT19,"")</f>
      </c>
      <c r="BM19" s="842">
        <f>IF(OR(AO19&lt;&gt;"",$BD$19=""),AO19,IF(OR(AND(LEFT($BD$19,2)="AT",RIGHT($BD$19,2)="19"),AND(LEFT($BD$20,2)="AT",RIGHT($BD$20,2)="19")),AT19,AO19))</f>
      </c>
      <c r="BN19" s="842">
        <f>IF(OR(AP19&lt;&gt;"",$BD$19=""),AP19,IF(OR(AND(LEFT($BD$19,2)="AU",RIGHT($BD$19,2)="19"),AND(LEFT($BD$20,2)="AU",RIGHT($BD$20,2)="19")),AU19,AP19))</f>
      </c>
      <c r="BO19" s="842">
        <f>IF(OR(AQ19&lt;&gt;"",$BD$19=""),AQ19,IF(OR(AND(LEFT($BD$19,2)="AV",RIGHT($BD$19,2)="19"),AND(LEFT($BD$20,2)="AV",RIGHT($BD$20,2)="19")),AV19,AQ19))</f>
      </c>
      <c r="BP19" s="842">
        <f>IF(OR(AR19&lt;&gt;"",$BD$19=""),AR19,IF(OR(AND(LEFT($BD$19,2)="AW",RIGHT($BD$19,2)="19"),AND(LEFT($BD$20,2)="AW",RIGHT($BD$20,2)="19")),AW19,AR19))</f>
      </c>
      <c r="BQ19" s="247">
        <f t="shared" si="69"/>
        <v>0</v>
      </c>
      <c r="BR19" s="567">
        <f t="shared" si="5"/>
        <v>0</v>
      </c>
      <c r="BS19" s="567">
        <f t="shared" si="62"/>
        <v>0</v>
      </c>
      <c r="BT19" s="842">
        <f t="shared" si="96"/>
      </c>
      <c r="BU19" s="842">
        <f t="shared" si="96"/>
      </c>
      <c r="BV19" s="842">
        <f t="shared" si="96"/>
      </c>
      <c r="BW19" s="842">
        <f t="shared" si="96"/>
      </c>
      <c r="BX19" s="327"/>
      <c r="BY19" s="1072">
        <f t="shared" si="8"/>
      </c>
      <c r="BZ19" s="393"/>
      <c r="CA19" s="842">
        <f t="shared" si="9"/>
      </c>
      <c r="CB19" s="842">
        <f t="shared" si="10"/>
      </c>
      <c r="CC19" s="842">
        <f t="shared" si="11"/>
      </c>
      <c r="CD19" s="842">
        <f t="shared" si="12"/>
      </c>
      <c r="CE19" s="919"/>
      <c r="CF19" s="1033">
        <f t="shared" si="13"/>
      </c>
      <c r="CG19" s="1033">
        <f t="shared" si="14"/>
      </c>
      <c r="CH19" s="1033">
        <f t="shared" si="15"/>
      </c>
      <c r="CI19" s="1033">
        <f t="shared" si="16"/>
      </c>
      <c r="CJ19" s="393"/>
      <c r="CK19" s="919"/>
      <c r="CL19" s="393"/>
      <c r="CM19" s="684"/>
      <c r="CN19" s="672"/>
      <c r="CO19" s="259" t="str">
        <f t="shared" si="17"/>
        <v>PA</v>
      </c>
      <c r="CP19" s="260">
        <f t="shared" si="18"/>
      </c>
      <c r="CQ19" s="259"/>
      <c r="CR19" s="260"/>
      <c r="CS19" s="345">
        <f t="shared" si="72"/>
      </c>
      <c r="CT19" s="345">
        <f t="shared" si="72"/>
      </c>
      <c r="CU19" s="345">
        <f t="shared" si="72"/>
      </c>
      <c r="CV19" s="345">
        <f t="shared" si="72"/>
      </c>
      <c r="CW19" s="50">
        <f t="shared" si="73"/>
        <v>0</v>
      </c>
      <c r="CX19" s="69">
        <f t="shared" si="20"/>
        <v>0</v>
      </c>
      <c r="CY19" s="70">
        <f t="shared" si="21"/>
      </c>
      <c r="CZ19" s="39"/>
      <c r="DA19" s="47"/>
      <c r="DB19" s="47"/>
      <c r="DC19" s="47"/>
      <c r="DD19" s="33"/>
      <c r="DE19" s="71">
        <f t="shared" si="22"/>
        <v>0</v>
      </c>
      <c r="DF19" s="71" t="str">
        <f t="shared" si="23"/>
        <v>0</v>
      </c>
      <c r="DG19" s="393"/>
      <c r="DH19" s="393"/>
      <c r="DI19" s="919"/>
      <c r="DJ19" s="393"/>
      <c r="DK19" s="642">
        <f t="shared" si="74"/>
      </c>
      <c r="DL19" s="642">
        <f t="shared" si="74"/>
      </c>
      <c r="DM19" s="642">
        <f t="shared" si="74"/>
      </c>
      <c r="DN19" s="642">
        <f t="shared" si="74"/>
      </c>
      <c r="DO19" s="919"/>
      <c r="DP19" s="393"/>
      <c r="DQ19" s="684"/>
      <c r="DR19" s="672"/>
      <c r="DS19" s="259" t="str">
        <f t="shared" si="25"/>
        <v>PA</v>
      </c>
      <c r="DT19" s="260">
        <f t="shared" si="26"/>
      </c>
      <c r="DU19" s="259"/>
      <c r="DV19" s="260"/>
      <c r="DW19" s="345">
        <f t="shared" si="75"/>
      </c>
      <c r="DX19" s="345">
        <f t="shared" si="75"/>
      </c>
      <c r="DY19" s="345">
        <f t="shared" si="75"/>
      </c>
      <c r="DZ19" s="345">
        <f t="shared" si="75"/>
      </c>
      <c r="EA19" s="50">
        <f t="shared" si="76"/>
        <v>0</v>
      </c>
      <c r="EB19" s="69">
        <f t="shared" si="28"/>
        <v>0</v>
      </c>
      <c r="EC19" s="70">
        <f t="shared" si="29"/>
      </c>
      <c r="ED19" s="39"/>
      <c r="EE19" s="47"/>
      <c r="EF19" s="47"/>
      <c r="EG19" s="71">
        <f t="shared" si="30"/>
        <v>0</v>
      </c>
      <c r="EH19" s="71" t="str">
        <f t="shared" si="31"/>
        <v>0</v>
      </c>
      <c r="EI19" s="393"/>
      <c r="EJ19" s="393"/>
      <c r="EK19" s="393"/>
      <c r="EL19" s="393"/>
      <c r="EM19" s="393"/>
      <c r="EN19" s="568"/>
      <c r="EO19" s="574">
        <f t="shared" si="77"/>
      </c>
      <c r="EP19" s="572">
        <f t="shared" si="77"/>
      </c>
      <c r="EQ19" s="572">
        <f t="shared" si="77"/>
      </c>
      <c r="ER19" s="575">
        <f t="shared" si="77"/>
      </c>
      <c r="ES19" s="391">
        <f t="shared" si="34"/>
        <v>0</v>
      </c>
      <c r="ET19" s="391"/>
      <c r="EU19" s="578">
        <f t="shared" si="78"/>
      </c>
      <c r="EV19" s="578">
        <f t="shared" si="78"/>
      </c>
      <c r="EW19" s="578">
        <f t="shared" si="78"/>
      </c>
      <c r="EX19" s="578">
        <f t="shared" si="78"/>
      </c>
      <c r="EY19" s="685"/>
      <c r="EZ19" s="579"/>
      <c r="FA19" s="962">
        <f t="shared" si="1"/>
        <v>0</v>
      </c>
      <c r="FB19" s="962">
        <f t="shared" si="36"/>
        <v>0</v>
      </c>
      <c r="FC19" s="684"/>
      <c r="FD19" s="33" t="e">
        <f>IF(FD18="","",IF(OR(COUNT($EO$10:$ER$30)+FD18&lt;38,AND(MAX($FD$11:FD18)+$ET$37&lt;40,AND(ET45&lt;40,FF19&gt;EV45))),FD18+1,""))</f>
        <v>#NUM!</v>
      </c>
      <c r="FE19" s="248">
        <v>9</v>
      </c>
      <c r="FF19" s="33">
        <f t="shared" si="93"/>
      </c>
      <c r="FG19" s="33">
        <f ca="1">IF(OR($FF19="",ISERROR(MATCH($FF19,EX$11:EX$32,0))=TRUE),0,IF(OR(AND(COUNTIF(EX$11:EX$32,$FF19)=1,ISNA(MATCH(MATCH($FF19,EX$11:EX$32,0)+10,FG$11:FG18,0)=TRUE)),AND(COUNTIF(EX$11:EX$32,$FF19)&gt;=2,$FF18&lt;&gt;$FF19)),MATCH($FF19,EX$11:EX$32,0)+10,IF(AND(COUNTIF(EX$11:EX$32,$FF19)&gt;=2,COUNTIF(INDIRECT("FG$"&amp;MATCH($FF19,$FF$11:$FF19,0)+10):FG18,"&gt;0")&lt;COUNTIF(EX$11:EX$32,$FF19)),MATCH($FF19,INDIRECT("EX"&amp;FG18+1):$EX$34,0)+FG18,0)))</f>
        <v>0</v>
      </c>
      <c r="FH19" s="33">
        <f ca="1">IF(OR($FF19="",FG19&lt;&gt;0,ISERROR(MATCH($FF19,$EW$11:$EW$32,0))=TRUE),0,IF(OR(AND(COUNTIF($EW$11:$EW$32,$FF19)=1,ISNA(MATCH(MATCH($FF19,$EW$11:$EW$32,0)+10,FH$11:FH18,0)=TRUE)),AND(COUNTIF($EW$11:$EW$32,$FF19)&gt;=2,$FF18&lt;&gt;$FF19)),MATCH($FF19,$EW$11:$EW$32,0)+10,IF(AND(COUNTIF($EW$11:$EW$32,$FF19)&gt;=2,COUNTIF(INDIRECT("FH$"&amp;MATCH($FF19,$FF$11:$FF19,0)+10):FH18,"&gt;0")&lt;COUNTIF($EW$11:$EW$32,$FF19)),MATCH($FF19,INDIRECT("EW"&amp;FH18+1):$EW$34,0)+FH18,0)))</f>
        <v>0</v>
      </c>
      <c r="FI19" s="33">
        <f ca="1">IF(OR($FF19="",FG19&lt;&gt;0,FH19&lt;&gt;0,ISERROR(MATCH($FF19,EV$11:EV$32,0))=TRUE),0,IF(OR(AND(COUNTIF(EV$11:EV$32,$FF19)=1,ISNA(MATCH(MATCH($FF19,EV$11:EV$32,0)+10,FI$11:FI18,0)=TRUE)),AND(COUNTIF(EV$11:EV$32,$FF19)&gt;=2,$FF18&lt;&gt;$FF19)),MATCH($FF19,EV$11:EV$32,0)+10,IF(AND(COUNTIF(EV$11:EV$32,$FF19)&gt;=2,COUNTIF(INDIRECT("FI$"&amp;MATCH($FF19,$FF$11:$FF19,0)+10):FI18,"&gt;0")&lt;COUNTIF(EV$11:EV$32,$FF19)),MATCH($FF19,INDIRECT("EV"&amp;FI18+1):$EV$34,0)+FI18,0)))</f>
        <v>0</v>
      </c>
      <c r="FJ19" s="33">
        <f ca="1">IF(OR($FF19="",FG19&lt;&gt;0,FH19&lt;&gt;0,FI19&lt;&gt;0,ISERROR(MATCH($FF19,$EU$11:$EU$32,0))=TRUE),0,IF(OR(AND(COUNTIF($EU$11:$EU$32,$FF19)=1,ISNA(MATCH(MATCH($FF19,$EU$11:$EU$32,0)+10,FJ$11:FJ18,0)=TRUE)),AND(COUNTIF($EU$11:$EU$32,$FF19)&gt;=2,$FF18&lt;&gt;$FF19)),MATCH($FF19,$EU$11:$EU$32,0)+10,IF(AND(COUNTIF($EU$11:$EU$32,$FF19)&gt;=2,COUNTIF(INDIRECT("FJ$"&amp;MATCH($FF19,$FF$11:$FF19,0)+10):FJ18,"&gt;0")&lt;COUNTIF($EU$11:$EU$32,$FF19)),MATCH($FF19,INDIRECT("EU"&amp;FJ18+1):$EU$34,0)+FJ18,0)))</f>
        <v>0</v>
      </c>
      <c r="FK19" s="61" t="str">
        <f t="shared" si="63"/>
        <v>EU0</v>
      </c>
      <c r="FL19" s="842">
        <f t="shared" si="38"/>
      </c>
      <c r="FM19" s="842">
        <f t="shared" si="39"/>
      </c>
      <c r="FN19" s="842">
        <f t="shared" si="40"/>
      </c>
      <c r="FO19" s="842">
        <f t="shared" si="41"/>
      </c>
      <c r="FP19" s="255" t="e">
        <f t="shared" si="64"/>
        <v>#NUM!</v>
      </c>
      <c r="FQ19" s="917">
        <f ca="1">IF(AND(RIGHT(FK18,2)="31",COUNTA($FQ$11:FQ18)-COUNTIF($FQ$11:FQ18,"")=0),ADDRESS(31,COLUMN(INDIRECT(FK18))-1,4),"")</f>
      </c>
      <c r="FR19" s="917">
        <f t="shared" si="42"/>
      </c>
      <c r="FS19" s="917" t="e">
        <f>IF(FQ19&lt;&gt;"",FQ19,IF(FP19="","",IF(COUNTA($FQ$11:FQ18)-COUNTIF($FQ$11:FQ18,"")&lt;&gt;1,VLOOKUP(FP19,$FD$11:$FK$23,8,FALSE),VLOOKUP(FP19-1,$FE$11:$FK$23,7,FALSE))))</f>
        <v>#NUM!</v>
      </c>
      <c r="FT19" s="938" t="e">
        <f>IF(AND($FR$26&gt;MAX($FP$11:$FP$22),FP19=$FR$26-2,$FR$26-1=MAX($FP$11:$FP$22)),"",IF(AND(FS19&lt;&gt;"",ISNA(MATCH(FS19,$FT$11:FT18,0))=FALSE),FK19,FS19))</f>
        <v>#NUM!</v>
      </c>
      <c r="FU19" s="255"/>
      <c r="FV19" s="672"/>
      <c r="FW19" s="259" t="str">
        <f t="shared" si="79"/>
        <v>PA</v>
      </c>
      <c r="FX19" s="260">
        <f t="shared" si="80"/>
      </c>
      <c r="FY19" s="259"/>
      <c r="FZ19" s="260"/>
      <c r="GA19" s="345">
        <f t="shared" si="81"/>
      </c>
      <c r="GB19" s="345">
        <f t="shared" si="82"/>
      </c>
      <c r="GC19" s="345">
        <f t="shared" si="83"/>
      </c>
      <c r="GD19" s="345">
        <f t="shared" si="84"/>
      </c>
      <c r="GE19" s="50">
        <f t="shared" si="85"/>
        <v>0</v>
      </c>
      <c r="GF19" s="69">
        <f t="shared" si="44"/>
        <v>0</v>
      </c>
      <c r="GG19" s="70">
        <f t="shared" si="45"/>
      </c>
      <c r="GH19" s="39"/>
      <c r="GI19" s="47"/>
      <c r="GJ19" s="47"/>
      <c r="GK19" s="71">
        <f t="shared" si="46"/>
        <v>0</v>
      </c>
      <c r="GL19" s="71" t="str">
        <f t="shared" si="47"/>
        <v>0</v>
      </c>
      <c r="GM19" s="71"/>
      <c r="GN19" s="71">
        <f t="shared" si="48"/>
      </c>
      <c r="GO19" s="71">
        <v>9</v>
      </c>
      <c r="GP19" s="71">
        <f t="shared" si="49"/>
      </c>
      <c r="GQ19" s="61">
        <f ca="1">IF(OR($GP19="",ISERROR(MATCH($GP19,$FL$11:$FL$32,0))=TRUE),0,IF(OR(AND(COUNTIF($FL$11:$FL$32,$GP19)=1,ISNA(MATCH(MATCH($GP19,$FL$11:$FL$32,0)+10,GQ$11:GQ18,0)=TRUE)),AND(COUNTIF($FL$11:$FL$32,$GP19)&gt;=2,$GP18&lt;&gt;$GP19)),MATCH($GP19,$FL$11:$FL$32,0)+10,IF(AND(COUNTIF($FL$11:$FL$32,$GP19)&gt;=2,COUNTIF(INDIRECT("GQ$"&amp;MATCH($GP19,$GP$11:$GP19,0)+10):GQ18,"&gt;0")&lt;COUNTIF($FL$11:$FL$32,$GP19)),MATCH($GP19,INDIRECT("FL"&amp;GQ18+1):$FL$34,0)+GQ18,0)))</f>
        <v>0</v>
      </c>
      <c r="GR19" s="61">
        <f ca="1">IF(OR($GP19="",GQ19&lt;&gt;0,ISERROR(MATCH($GP19,$FM$11:$FM$32,0))=TRUE),0,IF(OR(AND(COUNTIF($FM$11:$FM$32,$GP19)=1,ISNA(MATCH(MATCH($GP19,$FM$11:$FM$32,0)+10,GR$11:GR18,0)=TRUE)),AND(COUNTIF($FM$11:$FM$32,$GP19)&gt;=2,$GP18&lt;&gt;$GP19)),MATCH($GP19,$FM$11:$FM$32,0)+10,IF(AND(COUNTIF($FM$11:$FM$32,$GP19)&gt;=2,COUNTIF(INDIRECT("GR$"&amp;MATCH($GP19,$GP$11:$GP19,0)+10):GR18,"&gt;0")&lt;COUNTIF($FM$11:$FM$32,$GP19)),MATCH($GP19,INDIRECT("FM"&amp;GR18+1):$FM$34,0)+GR18,0)))</f>
        <v>0</v>
      </c>
      <c r="GS19" s="61">
        <f ca="1">IF(OR($GP19="",GQ19&lt;&gt;0,GR19&lt;&gt;0,ISERROR(MATCH($GP19,$FN$11:$FN$32,0))=TRUE),0,IF(OR(AND(COUNTIF($FN$11:$FN$32,$GP19)=1,ISNA(MATCH(MATCH($GP19,$FN$11:$FN$32,0)+10,GS$11:GS18,0)=TRUE)),AND(COUNTIF($FN$11:$FN$32,$GP19)&gt;=2,$GP18&lt;&gt;$GP19)),MATCH($GP19,$FN$11:$FN$32,0)+10,IF(AND(COUNTIF($FN$11:$FN$32,$GP19)&gt;=2,COUNTIF(INDIRECT("GS$"&amp;MATCH($GP19,$GP$11:$GP19,0)+10):GS18,"&gt;0")&lt;COUNTIF($FN$11:$FN$32,$GP19)),MATCH($GP19,INDIRECT("FN"&amp;GS18+1):$GS$34,0)+GS18,0)))</f>
        <v>0</v>
      </c>
      <c r="GT19" s="61">
        <f ca="1">IF(OR($GP19="",GQ19&lt;&gt;0,GR19&lt;&gt;0,GS19&lt;&gt;0,ISERROR(MATCH($GP19,$FO$11:$FO$32,0))=TRUE),0,IF(OR(AND(COUNTIF($FO$11:$FO$32,$GP19)=1,ISNA(MATCH(MATCH($GP19,$FO$11:$FO$32,0)+10,GT$11:GT18,0)=TRUE)),AND(COUNTIF($FO$11:$FO$32,$GP19)&gt;=2,$GP18&lt;&gt;$GP19)),MATCH($GP19,$FO$11:$FO$32,0)+10,IF(AND(COUNTIF($FO$11:$FO$32,$GP19)&gt;=2,COUNTIF(INDIRECT("GT$"&amp;MATCH($GP19,$GP$11:$GP19,0)+10):GT18,"&gt;0")&lt;COUNTIF($FO$11:$FO$32,$GP19)),MATCH($GP19,INDIRECT("FO"&amp;GT18+1):$FO$34,0)+GT18,0)))</f>
        <v>0</v>
      </c>
      <c r="GU19" s="61">
        <f>IF(GQ19&lt;&gt;0,$GQ$10&amp;GQ19,IF(GR19&lt;&gt;0,$GR$10&amp;GR19,IF(GS19&lt;&gt;0,$GS$10&amp;GS19,IF(GT19&lt;&gt;0,$GT$10&amp;GT19,""))))</f>
      </c>
      <c r="GV19" s="1065">
        <f t="shared" si="51"/>
      </c>
      <c r="GW19" s="1065">
        <f t="shared" si="52"/>
      </c>
      <c r="GX19" s="1065">
        <f t="shared" si="53"/>
      </c>
      <c r="GY19" s="1065">
        <f t="shared" si="54"/>
      </c>
      <c r="GZ19" s="393"/>
      <c r="HA19" s="324"/>
      <c r="HB19" s="672"/>
      <c r="HC19" s="259" t="str">
        <f t="shared" si="86"/>
        <v>PA</v>
      </c>
      <c r="HD19" s="260">
        <f t="shared" si="87"/>
      </c>
      <c r="HE19" s="259"/>
      <c r="HF19" s="260"/>
      <c r="HG19" s="345">
        <f t="shared" si="88"/>
      </c>
      <c r="HH19" s="345">
        <f t="shared" si="89"/>
      </c>
      <c r="HI19" s="345">
        <f t="shared" si="90"/>
      </c>
      <c r="HJ19" s="345">
        <f t="shared" si="91"/>
      </c>
      <c r="HK19" s="50">
        <f t="shared" si="92"/>
        <v>0</v>
      </c>
      <c r="HL19" s="69">
        <f t="shared" si="56"/>
        <v>0</v>
      </c>
      <c r="HM19" s="70">
        <f t="shared" si="57"/>
      </c>
      <c r="HN19" s="39"/>
      <c r="HO19" s="47"/>
      <c r="HP19" s="47"/>
      <c r="HQ19" s="71">
        <f t="shared" si="58"/>
        <v>0</v>
      </c>
      <c r="HR19" s="71" t="str">
        <f t="shared" si="59"/>
        <v>0</v>
      </c>
    </row>
    <row r="20" spans="2:226" ht="15" customHeight="1">
      <c r="B20" s="812"/>
      <c r="C20" s="852"/>
      <c r="D20" s="337">
        <f>IF(Zulassung!D19="","",Zulassung!D19)</f>
      </c>
      <c r="E20" s="514">
        <f>IF(Zulassung!E19="","",Zulassung!E19)</f>
      </c>
      <c r="F20" s="515">
        <f>IF(Zulassung!F19="","",Zulassung!F19)</f>
      </c>
      <c r="G20" s="516">
        <f>IF(Zulassung!G19="","",Zulassung!G19)</f>
      </c>
      <c r="H20" s="550">
        <f>IF(Zulassung!H19="","",Zulassung!H19)</f>
      </c>
      <c r="I20" s="551">
        <f>IF(Zulassung!I19="","",Zulassung!I19)</f>
      </c>
      <c r="J20" s="551">
        <f>IF(Zulassung!J19="","",Zulassung!J19)</f>
      </c>
      <c r="K20" s="552">
        <f>IF(Zulassung!K19="","",Zulassung!K19)</f>
      </c>
      <c r="L20" s="370">
        <f t="shared" si="0"/>
      </c>
      <c r="O20" s="681"/>
      <c r="P20" s="255"/>
      <c r="Q20" s="1394"/>
      <c r="R20" s="1394"/>
      <c r="S20" s="303"/>
      <c r="T20" s="842">
        <f>IF(AND(E20&lt;&gt;1,E20&lt;&gt;2,D20&lt;&gt;0),COUNTIF(H20:K20,"&lt;5"),0)</f>
        <v>0</v>
      </c>
      <c r="U20" s="842" t="str">
        <f>IF(OR(E20=1,E20=2),COUNTIF(H20:K20,"&lt;5"),"0")</f>
        <v>0</v>
      </c>
      <c r="V20" s="842">
        <f>IF(AND(AND(E20&lt;&gt;1,E20&lt;&gt;2),OR(AND(H20=0,H20&lt;&gt;""),AND(I20=0,I20&lt;&gt;""),AND(J20=0,J20&lt;&gt;""),AND(K20=0,K20&lt;&gt;""))),1,0)</f>
        <v>0</v>
      </c>
      <c r="W20" s="842">
        <f>IF(AND(OR(E20=1,E20=2),OR(AND(H20=0,H20&lt;&gt;""),AND(I20=0,I20&lt;&gt;""),AND(J20=0,J20&lt;&gt;""),AND(K20=0,K20&lt;&gt;""))),1,0)</f>
        <v>0</v>
      </c>
      <c r="Y20" s="639" t="str">
        <f>IF(AND(OR(Z20="GE",Z20="SW"),COUNT(J20:K20)&gt;0,COUNTIF(H20:I20,"")=2),"F","W")</f>
        <v>W</v>
      </c>
      <c r="Z20" s="842">
        <f t="shared" si="61"/>
      </c>
      <c r="AA20" s="842">
        <f>IF(OR(AND(Zulassung!G19="",MAX(H20:K20)&gt;0),AND(H20="",MAX(I20:K20)&gt;0),AND(I20="",MAX(J20:K20)&gt;0),AND(J20="",K20&lt;&gt;"")),1,0)</f>
        <v>0</v>
      </c>
      <c r="AB20" s="842">
        <f t="shared" si="94"/>
        <v>0</v>
      </c>
      <c r="AC20" s="512">
        <f>IF(Z20="",0,IF(OR(Z20="GE",Z20="SW"),2,4))</f>
        <v>0</v>
      </c>
      <c r="AD20" s="842">
        <f>IF(D20="","",IF(OR($AB$18=4,$AB$19=4,$AB$20=4,$AB$21=4),"W",IF(AND(OR(AND($Z$29="PL",AB29=4),AND($Z$30="PL",AB30=4)),SUM($AB$18:$AB$23)&gt;=6),"W","F")))</f>
      </c>
      <c r="AE20" s="842">
        <f t="shared" si="65"/>
        <v>0</v>
      </c>
      <c r="AF20" s="78"/>
      <c r="AG20" s="78"/>
      <c r="AH20" s="842">
        <f t="shared" si="66"/>
      </c>
      <c r="AI20" s="273"/>
      <c r="AJ20" s="289">
        <f t="shared" si="67"/>
      </c>
      <c r="AK20" s="842">
        <f>IF(AB20=4,Z20,"")</f>
      </c>
      <c r="AL20" s="255"/>
      <c r="AM20" s="842">
        <f>IF(E20&lt;&gt;"",Z20,IF(OR(AM29="PL",COUNT(E18)+COUNT(E19)&gt;0),"",IF(AND(AB20=4,AE20=MAX($AE$18:$AE$20),COUNTIF(AE18:AE20,MAX(AE18:AE20))&gt;1,AH20=MIN(AH18:AH20)),Z20,IF(AND(AB20=4,AE20=MAX($AE$18:$AE$20),COUNTIF(AE18:AE20,MAX(AE18:AE20))&gt;1),"",IF(AND(AB20=4,AE20=MAX($AE$18:$AE$20)),Z20,"")))))</f>
      </c>
      <c r="AN20" s="1108" t="s">
        <v>500</v>
      </c>
      <c r="AO20" s="1109">
        <f>IF(OR(Z20="PL",$AM20&lt;&gt;""),H20,IF(AND(OR($Z20="GE",$Z20="SW",AND(MAX(AB18:AB20,AB29:AB30)&lt;4,OR(Z29="PL",Z30="PL"))),$AB20&gt;=2,OR($BG20=$BM$7,$BI20=$BM$7)),H20,IF($AB20=3,"",IF(AND($AB20=4,OR($BG20=$BM$7,$BI20=$BM$7)),H20,""))))</f>
      </c>
      <c r="AP20" s="1109">
        <f>IF($AM20&lt;&gt;"",I20,IF(AND(OR($Z20="GE",$Z20="SW",AND(MAX(AB18:AB20,AB29:AB30)&lt;4,OR(Z29="PL",Z30="PL"))),$AB20&gt;=2,OR($BG20=$BN$7,$BI20=$BN$7)),I20,IF($AB20=3,"",IF(AND($AB20=4,OR($BG20=$BN$7,$BI20=$BN$7)),I20,""))))</f>
      </c>
      <c r="AQ20" s="1109">
        <f>IF($AM20&lt;&gt;"",J20,IF(AND(OR($Z20="GE",$Z20="SW",AND(MAX(AB18:AB20,AB29:AB30)&lt;4,OR(Z29="PL",Z30="PL"))),$AB20&gt;=2,OR($BG20=$BO$7,$BI20=$BO$7)),J20,IF($AB20=3,"",IF(AND($AB20=4,OR($BG20=$BO$7,$BI20=$BO$7)),J20,""))))</f>
      </c>
      <c r="AR20" s="1109">
        <f>IF($AM20&lt;&gt;"",K20,IF(AND(OR($Z20="GE",$Z20="SW",AND(MAX(AB18:AB20,AB29:AB30)&lt;4,OR(Z29="PL",Z30="PL"))),$AB20&gt;=2,OR($BG20=$BP$7,$BI20=$BP$7)),K20,IF($AB20=3,"",IF(AND($AB20=4,OR($BG20=$BP$7,$BI20=$BP$7)),K20,""))))</f>
      </c>
      <c r="AS20" s="1239">
        <f>IF(ISNA(MATCH("PL",$Z$18:$Z$30,0))=TRUE,"",IF(OR(ISERROR(LARGE($AT$18:$AW$21,1))=TRUE,VLOOKUP("PL",$Z$18:$AJ$30,11,FALSE)=""),"",IF(COUNT(AT20:AW20)&lt;2,"",LARGE(AT20:AW20,1)+LARGE(AT20:AW20,2))))</f>
      </c>
      <c r="AT20" s="1109">
        <f t="shared" si="95"/>
      </c>
      <c r="AU20" s="1109">
        <f t="shared" si="95"/>
      </c>
      <c r="AV20" s="1109">
        <f t="shared" si="95"/>
      </c>
      <c r="AW20" s="1109">
        <f t="shared" si="95"/>
      </c>
      <c r="AX20" s="78">
        <v>2</v>
      </c>
      <c r="AY20" s="1123">
        <f ca="1">IF(OR(ISNA(MATCH("PL",Z18:Z30,0))=TRUE,AS22=""),"",IF(OR(ISERROR(LARGE(AT18:AW21,2))=TRUE,VLOOKUP("PL",Z18:AJ30,11,FALSE)=""),"",LARGE(INDIRECT("AT"&amp;AS22&amp;":AW"&amp;AS22),2)))</f>
      </c>
      <c r="AZ20" s="1111">
        <f ca="1">IF(OR($AZ$18&lt;&gt;0,$AZ$19&lt;&gt;0,$AY$19="",ISERROR(MATCH($AY$19,$AT$20:$AW$20,0)=TRUE),AS22&lt;&gt;20),0,MATCH($AY$19,INDIRECT("AT"&amp;$AS$22&amp;":AW"&amp;$AS$22),0)+45)</f>
        <v>0</v>
      </c>
      <c r="BA20" s="1123">
        <f ca="1">IF(OR(BA19&lt;&gt;0,BA18&lt;&gt;0,$AY$20="",ISERROR(MATCH($AY$20,AT20:AW20,0)=TRUE),AS22&lt;&gt;20),0,IF($AY$20&lt;&gt;$AY$19,MATCH($AY$20,AT20:AW20,0)+45,MATCH($AY$20,INDIRECT(ADDRESS(20,AZ22,4)):AW20,0)+AZ20))</f>
        <v>0</v>
      </c>
      <c r="BB20" s="248"/>
      <c r="BC20" s="255"/>
      <c r="BD20" s="1123">
        <f>IF(AY20="","",ADDRESS(MATCH(BA22,BA18:BA21,0)+17,BA22,4))</f>
      </c>
      <c r="BE20" s="61">
        <f ca="1">IF(BD20="","",INDIRECT("Z"&amp;RIGHT(BD20,2)))</f>
      </c>
      <c r="BF20" s="61">
        <f ca="1">IF(BA22=0,"",INDIRECT(ADDRESS(9,BA22-38,1)))</f>
      </c>
      <c r="BG20" s="842">
        <f>IF(BH20="","",MATCH(BH20,H20:K20,0))</f>
      </c>
      <c r="BH20" s="938">
        <f>IF(AND(OR(Z20="GE",Z20="SW",AND(MAX($AB$18:$AB$21)&lt;4,OR($Z$29="PL",$Z$30="PL"))),AB20&gt;=2),MAX(H20:K20),"")</f>
      </c>
      <c r="BI20" s="842">
        <f t="shared" si="68"/>
      </c>
      <c r="BJ20" s="247">
        <f>IF(AND(OR(Z20="GE",Z20="SW",AND(MAX($AB$18:$AB$21)&lt;4,OR($Z$29="PL",$Z$30="PL"))),AB20&gt;=2,BG20=1),MAX(I20:K20),IF(AND(OR(Z20="GE",Z20="SW",AND(MAX($AB$18:$AB$21)&lt;4,OR($Z$29="PL",$Z$30="PL"))),AB20&gt;=2,BG20=2),MAX(H20,J20,K20),IF(AND(OR(Z20="GE",Z20="SW",AND(MAX($AB$18:$AB$21)&lt;4,OR($Z$29="PL",$Z$30="PL"))),AB20&gt;=2,BG20=3),MAX(H20,I20,K20),IF(AND(OR(Z20="GE",Z20="SW",AND(MAX($AB$18:$AB$21)&lt;4,OR($Z$29="PL",$Z$30="PL"))),AB20&gt;=2,BG20=4),MAX(H20:J20),""))))</f>
      </c>
      <c r="BK20" s="248">
        <f>IF(AND(Z20="GE",AB20=1,AT20&gt;MIN($J$22:$K$22)),AT20,"")</f>
      </c>
      <c r="BL20" s="255">
        <f>IF(AND(Z20="SW",AB20=1,AT20&gt;MIN($J$23:$K$23)),AT20,"")</f>
      </c>
      <c r="BM20" s="842">
        <f>IF(OR(AO20&lt;&gt;"",$BD$19=""),AO20,IF(OR(AND(LEFT($BD$19,2)="AT",RIGHT($BD$19,2)="20"),AND(LEFT($BD$20,2)="AT",RIGHT($BD$20,2)="20")),AT20,AO20))</f>
      </c>
      <c r="BN20" s="842">
        <f>IF(OR(AP20&lt;&gt;"",$BD$19=""),AP20,IF(OR(AND(LEFT($BD$19,2)="AU",RIGHT($BD$19,2)="20"),AND(LEFT($BD$20,2)="AU",RIGHT($BD$20,2)="20")),AU20,AP20))</f>
      </c>
      <c r="BO20" s="842">
        <f>IF(OR(AQ20&lt;&gt;"",$BD$19=""),AQ20,IF(OR(AND(LEFT($BD$19,2)="AT",RIGHT($BD$19,2)="20"),AND(LEFT($BD$20,2)="AT",RIGHT($BD$20,2)="20")),AV20,AQ20))</f>
      </c>
      <c r="BP20" s="842">
        <f>IF(OR(AR20&lt;&gt;"",$BD$19=""),AR20,IF(OR(AND(LEFT($BD$19,2)="AW",RIGHT($BD$19,2)="20"),AND(LEFT($BD$20,2)="AW",RIGHT($BD$20,2)="20")),AW20,AR20))</f>
      </c>
      <c r="BQ20" s="247">
        <f t="shared" si="69"/>
        <v>0</v>
      </c>
      <c r="BR20" s="567">
        <f t="shared" si="5"/>
        <v>0</v>
      </c>
      <c r="BS20" s="567">
        <f t="shared" si="62"/>
        <v>0</v>
      </c>
      <c r="BT20" s="842">
        <f t="shared" si="96"/>
      </c>
      <c r="BU20" s="842">
        <f t="shared" si="96"/>
      </c>
      <c r="BV20" s="842">
        <f t="shared" si="96"/>
      </c>
      <c r="BW20" s="842">
        <f t="shared" si="96"/>
      </c>
      <c r="BX20" s="393"/>
      <c r="BY20" s="1072">
        <f t="shared" si="8"/>
      </c>
      <c r="BZ20" s="393"/>
      <c r="CA20" s="842">
        <f t="shared" si="9"/>
      </c>
      <c r="CB20" s="842">
        <f t="shared" si="10"/>
      </c>
      <c r="CC20" s="842">
        <f t="shared" si="11"/>
      </c>
      <c r="CD20" s="842">
        <f t="shared" si="12"/>
      </c>
      <c r="CE20" s="919"/>
      <c r="CF20" s="1033">
        <f t="shared" si="13"/>
      </c>
      <c r="CG20" s="1033">
        <f t="shared" si="14"/>
      </c>
      <c r="CH20" s="1033">
        <f t="shared" si="15"/>
      </c>
      <c r="CI20" s="1033">
        <f t="shared" si="16"/>
      </c>
      <c r="CJ20" s="393"/>
      <c r="CK20" s="919"/>
      <c r="CL20" s="393"/>
      <c r="CM20" s="684"/>
      <c r="CN20" s="672"/>
      <c r="CO20" s="259">
        <f t="shared" si="17"/>
      </c>
      <c r="CP20" s="260">
        <f t="shared" si="18"/>
      </c>
      <c r="CQ20" s="259"/>
      <c r="CR20" s="260"/>
      <c r="CS20" s="345">
        <f t="shared" si="72"/>
      </c>
      <c r="CT20" s="345">
        <f t="shared" si="72"/>
      </c>
      <c r="CU20" s="345">
        <f t="shared" si="72"/>
      </c>
      <c r="CV20" s="345">
        <f t="shared" si="72"/>
      </c>
      <c r="CW20" s="50">
        <f t="shared" si="73"/>
      </c>
      <c r="CX20" s="69">
        <f t="shared" si="20"/>
      </c>
      <c r="CY20" s="70">
        <f t="shared" si="21"/>
      </c>
      <c r="CZ20" s="39"/>
      <c r="DA20" s="303"/>
      <c r="DB20" s="303"/>
      <c r="DC20" s="303"/>
      <c r="DD20" s="33"/>
      <c r="DE20" s="71">
        <f t="shared" si="22"/>
        <v>0</v>
      </c>
      <c r="DF20" s="71" t="str">
        <f t="shared" si="23"/>
        <v>0</v>
      </c>
      <c r="DG20" s="393"/>
      <c r="DH20" s="393"/>
      <c r="DI20" s="919"/>
      <c r="DJ20" s="393"/>
      <c r="DK20" s="642">
        <f t="shared" si="74"/>
      </c>
      <c r="DL20" s="642">
        <f t="shared" si="74"/>
      </c>
      <c r="DM20" s="642">
        <f t="shared" si="74"/>
      </c>
      <c r="DN20" s="642">
        <f t="shared" si="74"/>
      </c>
      <c r="DO20" s="919"/>
      <c r="DP20" s="393"/>
      <c r="DQ20" s="684"/>
      <c r="DR20" s="672"/>
      <c r="DS20" s="259">
        <f t="shared" si="25"/>
      </c>
      <c r="DT20" s="260">
        <f t="shared" si="26"/>
      </c>
      <c r="DU20" s="259"/>
      <c r="DV20" s="260"/>
      <c r="DW20" s="345">
        <f t="shared" si="75"/>
      </c>
      <c r="DX20" s="345">
        <f t="shared" si="75"/>
      </c>
      <c r="DY20" s="345">
        <f t="shared" si="75"/>
      </c>
      <c r="DZ20" s="345">
        <f t="shared" si="75"/>
      </c>
      <c r="EA20" s="50">
        <f t="shared" si="76"/>
      </c>
      <c r="EB20" s="69">
        <f t="shared" si="28"/>
      </c>
      <c r="EC20" s="70">
        <f t="shared" si="29"/>
      </c>
      <c r="ED20" s="39"/>
      <c r="EE20" s="303"/>
      <c r="EF20" s="303"/>
      <c r="EG20" s="71">
        <f t="shared" si="30"/>
        <v>0</v>
      </c>
      <c r="EH20" s="71" t="str">
        <f t="shared" si="31"/>
        <v>0</v>
      </c>
      <c r="EI20" s="393"/>
      <c r="EJ20" s="393"/>
      <c r="EK20" s="393"/>
      <c r="EL20" s="393"/>
      <c r="EM20" s="393"/>
      <c r="EN20" s="568"/>
      <c r="EO20" s="574">
        <f t="shared" si="77"/>
      </c>
      <c r="EP20" s="572">
        <f t="shared" si="77"/>
      </c>
      <c r="EQ20" s="572">
        <f t="shared" si="77"/>
      </c>
      <c r="ER20" s="575">
        <f t="shared" si="77"/>
      </c>
      <c r="ES20" s="391">
        <f t="shared" si="34"/>
        <v>0</v>
      </c>
      <c r="ET20" s="391"/>
      <c r="EU20" s="578">
        <f t="shared" si="78"/>
      </c>
      <c r="EV20" s="578">
        <f t="shared" si="78"/>
      </c>
      <c r="EW20" s="578">
        <f t="shared" si="78"/>
      </c>
      <c r="EX20" s="578">
        <f t="shared" si="78"/>
      </c>
      <c r="EY20" s="685"/>
      <c r="EZ20" s="579"/>
      <c r="FA20" s="962">
        <f t="shared" si="1"/>
        <v>0</v>
      </c>
      <c r="FB20" s="962">
        <f t="shared" si="36"/>
        <v>0</v>
      </c>
      <c r="FC20" s="684"/>
      <c r="FD20" s="33" t="e">
        <f>IF(FD19="","",IF(OR(COUNT($EO$10:$ER$30)+FD19&lt;38,AND(MAX($FD$11:FD19)+$ET$37&lt;40,AND(ET46&lt;40,FF20&gt;EV46))),FD19+1,""))</f>
        <v>#NUM!</v>
      </c>
      <c r="FE20" s="248">
        <v>10</v>
      </c>
      <c r="FF20" s="33">
        <f t="shared" si="93"/>
      </c>
      <c r="FG20" s="33">
        <f ca="1">IF(OR($FF20="",ISERROR(MATCH($FF20,EX$11:EX$32,0))=TRUE),0,IF(OR(AND(COUNTIF(EX$11:EX$32,$FF20)=1,ISNA(MATCH(MATCH($FF20,EX$11:EX$32,0)+10,FG$11:FG19,0)=TRUE)),AND(COUNTIF(EX$11:EX$32,$FF20)&gt;=2,$FF19&lt;&gt;$FF20)),MATCH($FF20,EX$11:EX$32,0)+10,IF(AND(COUNTIF(EX$11:EX$32,$FF20)&gt;=2,COUNTIF(INDIRECT("FG$"&amp;MATCH($FF20,$FF$11:$FF20,0)+10):FG19,"&gt;0")&lt;COUNTIF(EX$11:EX$32,$FF20)),MATCH($FF20,INDIRECT("EX"&amp;FG19+1):$EX$34,0)+FG19,0)))</f>
        <v>0</v>
      </c>
      <c r="FH20" s="33">
        <f ca="1">IF(OR($FF20="",FG20&lt;&gt;0,ISERROR(MATCH($FF20,$EW$11:$EW$32,0))=TRUE),0,IF(OR(AND(COUNTIF($EW$11:$EW$32,$FF20)=1,ISNA(MATCH(MATCH($FF20,$EW$11:$EW$32,0)+10,FH$11:FH19,0)=TRUE)),AND(COUNTIF($EW$11:$EW$32,$FF20)&gt;=2,$FF19&lt;&gt;$FF20)),MATCH($FF20,$EW$11:$EW$32,0)+10,IF(AND(COUNTIF($EW$11:$EW$32,$FF20)&gt;=2,COUNTIF(INDIRECT("FH$"&amp;MATCH($FF20,$FF$11:$FF20,0)+10):FH19,"&gt;0")&lt;COUNTIF($EW$11:$EW$32,$FF20)),MATCH($FF20,INDIRECT("EW"&amp;FH19+1):$EW$34,0)+FH19,0)))</f>
        <v>0</v>
      </c>
      <c r="FI20" s="33">
        <f ca="1">IF(OR($FF20="",FG20&lt;&gt;0,FH20&lt;&gt;0,ISERROR(MATCH($FF20,EV$11:EV$32,0))=TRUE),0,IF(OR(AND(COUNTIF(EV$11:EV$32,$FF20)=1,ISNA(MATCH(MATCH($FF20,EV$11:EV$32,0)+10,FI$11:FI19,0)=TRUE)),AND(COUNTIF(EV$11:EV$32,$FF20)&gt;=2,$FF19&lt;&gt;$FF20)),MATCH($FF20,EV$11:EV$32,0)+10,IF(AND(COUNTIF(EV$11:EV$32,$FF20)&gt;=2,COUNTIF(INDIRECT("FI$"&amp;MATCH($FF20,$FF$11:$FF20,0)+10):FI19,"&gt;0")&lt;COUNTIF(EV$11:EV$32,$FF20)),MATCH($FF20,INDIRECT("EV"&amp;FI19+1):$EV$34,0)+FI19,0)))</f>
        <v>0</v>
      </c>
      <c r="FJ20" s="33">
        <f ca="1">IF(OR($FF20="",FG20&lt;&gt;0,FH20&lt;&gt;0,FI20&lt;&gt;0,ISERROR(MATCH($FF20,$EU$11:$EU$32,0))=TRUE),0,IF(OR(AND(COUNTIF($EU$11:$EU$32,$FF20)=1,ISNA(MATCH(MATCH($FF20,$EU$11:$EU$32,0)+10,FJ$11:FJ19,0)=TRUE)),AND(COUNTIF($EU$11:$EU$32,$FF20)&gt;=2,$FF19&lt;&gt;$FF20)),MATCH($FF20,$EU$11:$EU$32,0)+10,IF(AND(COUNTIF($EU$11:$EU$32,$FF20)&gt;=2,COUNTIF(INDIRECT("FJ$"&amp;MATCH($FF20,$FF$11:$FF20,0)+10):FJ19,"&gt;0")&lt;COUNTIF($EU$11:$EU$32,$FF20)),MATCH($FF20,INDIRECT("EU"&amp;FJ19+1):$EU$34,0)+FJ19,0)))</f>
        <v>0</v>
      </c>
      <c r="FK20" s="61" t="str">
        <f t="shared" si="63"/>
        <v>EU0</v>
      </c>
      <c r="FL20" s="842">
        <f t="shared" si="38"/>
      </c>
      <c r="FM20" s="842">
        <f t="shared" si="39"/>
      </c>
      <c r="FN20" s="842">
        <f t="shared" si="40"/>
      </c>
      <c r="FO20" s="842">
        <f t="shared" si="41"/>
      </c>
      <c r="FP20" s="255" t="e">
        <f t="shared" si="64"/>
        <v>#NUM!</v>
      </c>
      <c r="FQ20" s="917">
        <f ca="1">IF(AND(RIGHT(FK19,2)="31",COUNTA($FQ$11:FQ19)-COUNTIF($FQ$11:FQ19,"")=0),ADDRESS(31,COLUMN(INDIRECT(FK19))-1,4),"")</f>
      </c>
      <c r="FR20" s="917">
        <f t="shared" si="42"/>
      </c>
      <c r="FS20" s="917" t="e">
        <f>IF(FQ20&lt;&gt;"",FQ20,IF(FP20="","",IF(COUNTA($FQ$11:FQ19)-COUNTIF($FQ$11:FQ19,"")&lt;&gt;1,VLOOKUP(FP20,$FD$11:$FK$23,8,FALSE),VLOOKUP(FP20-1,$FE$11:$FK$23,7,FALSE))))</f>
        <v>#NUM!</v>
      </c>
      <c r="FT20" s="938" t="e">
        <f>IF(AND($FR$26&gt;MAX($FP$11:$FP$22),FP20=$FR$26-2,$FR$26-1=MAX($FP$11:$FP$22)),"",IF(AND(FS20&lt;&gt;"",ISNA(MATCH(FS20,$FT$11:FT19,0))=FALSE),FK20,FS20))</f>
        <v>#NUM!</v>
      </c>
      <c r="FU20" s="255"/>
      <c r="FV20" s="672"/>
      <c r="FW20" s="259">
        <f t="shared" si="79"/>
      </c>
      <c r="FX20" s="260">
        <f t="shared" si="80"/>
      </c>
      <c r="FY20" s="259"/>
      <c r="FZ20" s="260"/>
      <c r="GA20" s="1058">
        <f t="shared" si="81"/>
      </c>
      <c r="GB20" s="348">
        <f t="shared" si="82"/>
      </c>
      <c r="GC20" s="348">
        <f t="shared" si="83"/>
      </c>
      <c r="GD20" s="348">
        <f t="shared" si="84"/>
      </c>
      <c r="GE20" s="50">
        <f t="shared" si="85"/>
      </c>
      <c r="GF20" s="69">
        <f t="shared" si="44"/>
      </c>
      <c r="GG20" s="70">
        <f t="shared" si="45"/>
      </c>
      <c r="GH20" s="39"/>
      <c r="GI20" s="303"/>
      <c r="GJ20" s="303"/>
      <c r="GK20" s="71">
        <f>IF(AND(FX20&lt;&gt;1,FX20&lt;&gt;2,FW20&lt;&gt;0),COUNTIF(GA20:GD20,"&lt;5"),"0")</f>
        <v>0</v>
      </c>
      <c r="GL20" s="71" t="str">
        <f>IF(OR(FX20=1,FX20=2),COUNTIF(GA20:GD20,"&lt;5"),"0")</f>
        <v>0</v>
      </c>
      <c r="GM20" s="71"/>
      <c r="GN20" s="71">
        <f t="shared" si="48"/>
      </c>
      <c r="GO20" s="71">
        <v>10</v>
      </c>
      <c r="GP20" s="71">
        <f t="shared" si="49"/>
      </c>
      <c r="GQ20" s="61">
        <f ca="1">IF(OR($GP20="",ISERROR(MATCH($GP20,$FL$11:$FL$32,0))=TRUE),0,IF(OR(AND(COUNTIF($FL$11:$FL$32,$GP20)=1,ISNA(MATCH(MATCH($GP20,$FL$11:$FL$32,0)+10,GQ$11:GQ19,0)=TRUE)),AND(COUNTIF($FL$11:$FL$32,$GP20)&gt;=2,$GP19&lt;&gt;$GP20)),MATCH($GP20,$FL$11:$FL$32,0)+10,IF(AND(COUNTIF($FL$11:$FL$32,$GP20)&gt;=2,COUNTIF(INDIRECT("GQ$"&amp;MATCH($GP20,$GP$11:$GP20,0)+10):GQ19,"&gt;0")&lt;COUNTIF($FL$11:$FL$32,$GP20)),MATCH($GP20,INDIRECT("FL"&amp;GQ19+1):$FL$34,0)+GQ19,0)))</f>
        <v>0</v>
      </c>
      <c r="GR20" s="61">
        <f ca="1">IF(OR($GP20="",GQ20&lt;&gt;0,ISERROR(MATCH($GP20,$FM$11:$FM$32,0))=TRUE),0,IF(OR(AND(COUNTIF($FM$11:$FM$32,$GP20)=1,ISNA(MATCH(MATCH($GP20,$FM$11:$FM$32,0)+10,GR$11:GR19,0)=TRUE)),AND(COUNTIF($FM$11:$FM$32,$GP20)&gt;=2,$GP19&lt;&gt;$GP20)),MATCH($GP20,$FM$11:$FM$32,0)+10,IF(AND(COUNTIF($FM$11:$FM$32,$GP20)&gt;=2,COUNTIF(INDIRECT("GR$"&amp;MATCH($GP20,$GP$11:$GP20,0)+10):GR19,"&gt;0")&lt;COUNTIF($FM$11:$FM$32,$GP20)),MATCH($GP20,INDIRECT("FM"&amp;GR19+1):$FM$34,0)+GR19,0)))</f>
        <v>0</v>
      </c>
      <c r="GS20" s="61">
        <f ca="1">IF(OR($GP20="",GQ20&lt;&gt;0,GR20&lt;&gt;0,ISERROR(MATCH($GP20,$FN$11:$FN$32,0))=TRUE),0,IF(OR(AND(COUNTIF($FN$11:$FN$32,$GP20)=1,ISNA(MATCH(MATCH($GP20,$FN$11:$FN$32,0)+10,GS$11:GS19,0)=TRUE)),AND(COUNTIF($FN$11:$FN$32,$GP20)&gt;=2,$GP19&lt;&gt;$GP20)),MATCH($GP20,$FN$11:$FN$32,0)+10,IF(AND(COUNTIF($FN$11:$FN$32,$GP20)&gt;=2,COUNTIF(INDIRECT("GS$"&amp;MATCH($GP20,$GP$11:$GP20,0)+10):GS19,"&gt;0")&lt;COUNTIF($FN$11:$FN$32,$GP20)),MATCH($GP20,INDIRECT("FN"&amp;GS19+1):$GS$34,0)+GS19,0)))</f>
        <v>0</v>
      </c>
      <c r="GT20" s="61">
        <f ca="1">IF(OR($GP20="",GQ20&lt;&gt;0,GR20&lt;&gt;0,GS20&lt;&gt;0,ISERROR(MATCH($GP20,$FO$11:$FO$32,0))=TRUE),0,IF(OR(AND(COUNTIF($FO$11:$FO$32,$GP20)=1,ISNA(MATCH(MATCH($GP20,$FO$11:$FO$32,0)+10,GT$11:GT19,0)=TRUE)),AND(COUNTIF($FO$11:$FO$32,$GP20)&gt;=2,$GP19&lt;&gt;$GP20)),MATCH($GP20,$FO$11:$FO$32,0)+10,IF(AND(COUNTIF($FO$11:$FO$32,$GP20)&gt;=2,COUNTIF(INDIRECT("GT$"&amp;MATCH($GP20,$GP$11:$GP20,0)+10):GT19,"&gt;0")&lt;COUNTIF($FO$11:$FO$32,$GP20)),MATCH($GP20,INDIRECT("FO"&amp;GT19+1):$FO$34,0)+GT19,0)))</f>
        <v>0</v>
      </c>
      <c r="GU20" s="61">
        <f>IF(GQ20&lt;&gt;0,$GQ$10&amp;GQ20,IF(GR20&lt;&gt;0,$GR$10&amp;GR20,IF(GS20&lt;&gt;0,$GS$10&amp;GS20,IF(GT20&lt;&gt;0,$GT$10&amp;GT20,""))))</f>
      </c>
      <c r="GV20" s="1065">
        <f t="shared" si="51"/>
      </c>
      <c r="GW20" s="1065">
        <f t="shared" si="52"/>
      </c>
      <c r="GX20" s="1065">
        <f t="shared" si="53"/>
      </c>
      <c r="GY20" s="1065">
        <f t="shared" si="54"/>
      </c>
      <c r="GZ20" s="393"/>
      <c r="HA20" s="324"/>
      <c r="HB20" s="672"/>
      <c r="HC20" s="259">
        <f t="shared" si="86"/>
      </c>
      <c r="HD20" s="260">
        <f t="shared" si="87"/>
      </c>
      <c r="HE20" s="259"/>
      <c r="HF20" s="260"/>
      <c r="HG20" s="345">
        <f t="shared" si="88"/>
      </c>
      <c r="HH20" s="345">
        <f t="shared" si="89"/>
      </c>
      <c r="HI20" s="345">
        <f t="shared" si="90"/>
      </c>
      <c r="HJ20" s="345">
        <f t="shared" si="91"/>
      </c>
      <c r="HK20" s="50">
        <f t="shared" si="92"/>
      </c>
      <c r="HL20" s="69">
        <f t="shared" si="56"/>
      </c>
      <c r="HM20" s="70">
        <f t="shared" si="57"/>
      </c>
      <c r="HN20" s="39"/>
      <c r="HO20" s="303"/>
      <c r="HP20" s="303"/>
      <c r="HQ20" s="71">
        <f t="shared" si="58"/>
        <v>0</v>
      </c>
      <c r="HR20" s="71" t="str">
        <f t="shared" si="59"/>
        <v>0</v>
      </c>
    </row>
    <row r="21" spans="2:226" ht="15" customHeight="1">
      <c r="B21" s="812"/>
      <c r="C21" s="852"/>
      <c r="D21" s="337">
        <f>IF(Zulassung!D20="","",Zulassung!D20)</f>
      </c>
      <c r="E21" s="514">
        <f>IF(Zulassung!E20="","",Zulassung!E20)</f>
      </c>
      <c r="F21" s="515">
        <f>IF(Zulassung!F20="","",Zulassung!F20)</f>
      </c>
      <c r="G21" s="516">
        <f>IF(Zulassung!G20="","",Zulassung!G20)</f>
      </c>
      <c r="H21" s="550">
        <f>IF(Zulassung!H20="","",Zulassung!H20)</f>
      </c>
      <c r="I21" s="551">
        <f>IF(Zulassung!I20="","",Zulassung!I20)</f>
      </c>
      <c r="J21" s="551">
        <f>IF(Zulassung!J20="","",Zulassung!J20)</f>
      </c>
      <c r="K21" s="552">
        <f>IF(Zulassung!K20="","",Zulassung!K20)</f>
      </c>
      <c r="L21" s="370">
        <f t="shared" si="0"/>
      </c>
      <c r="O21" s="681"/>
      <c r="P21" s="255"/>
      <c r="Q21" s="1118"/>
      <c r="R21" s="1118"/>
      <c r="S21" s="303"/>
      <c r="T21" s="842">
        <f>IF(AND(E21&lt;&gt;1,E21&lt;&gt;2,D21&lt;&gt;0),COUNTIF(H21:K21,"&lt;5"),0)</f>
        <v>0</v>
      </c>
      <c r="U21" s="842" t="str">
        <f>IF(OR(E21=1,E21=2),COUNTIF(H21:K21,"&lt;5"),"0")</f>
        <v>0</v>
      </c>
      <c r="V21" s="842">
        <f>IF(AND(AND(E21&lt;&gt;1,E21&lt;&gt;2),OR(AND(H21=0,H21&lt;&gt;""),AND(I21=0,I21&lt;&gt;""),AND(J21=0,J21&lt;&gt;""),AND(K21=0,K21&lt;&gt;""))),1,0)</f>
        <v>0</v>
      </c>
      <c r="W21" s="842">
        <f>IF(AND(OR(E21=1,E21=2),OR(AND(H21=0,H21&lt;&gt;""),AND(I21=0,I21&lt;&gt;""),AND(J21=0,J21&lt;&gt;""),AND(K21=0,K21&lt;&gt;""))),1,0)</f>
        <v>0</v>
      </c>
      <c r="Y21" s="639" t="str">
        <f>IF(AND(OR(Z21="GE",Z21="SW"),COUNT(J21:K21)&gt;0,COUNTIF(H21:I21,"")=2),"F","W")</f>
        <v>W</v>
      </c>
      <c r="Z21" s="846">
        <f t="shared" si="61"/>
      </c>
      <c r="AA21" s="846">
        <f>IF(OR(AND(Zulassung!G20="",MAX(H21:K21)&gt;0),AND(H21="",MAX(I21:K21)&gt;0),AND(I21="",MAX(J21:K21)&gt;0),AND(J21="",K21&lt;&gt;"")),1,0)</f>
        <v>0</v>
      </c>
      <c r="AB21" s="846">
        <f t="shared" si="94"/>
        <v>0</v>
      </c>
      <c r="AC21" s="502">
        <f>IF(Z21="",0,IF(OR(Z21="GE",Z21="SW"),2,4))</f>
        <v>0</v>
      </c>
      <c r="AD21" s="846">
        <f>IF(D21="","",IF(OR($AB$18=4,$AB$19=4,$AB$20=4,$AB$21=4),"W",IF(AND(OR(AND($Z$29="PL",AB30=4),AND($Z$30="PL",AB31=4)),SUM($AB$18:$AB$23)&gt;=6),"W","F")))</f>
      </c>
      <c r="AE21" s="846">
        <f t="shared" si="65"/>
        <v>0</v>
      </c>
      <c r="AF21" s="277"/>
      <c r="AG21" s="277"/>
      <c r="AH21" s="846">
        <f t="shared" si="66"/>
      </c>
      <c r="AI21" s="276"/>
      <c r="AJ21" s="1124">
        <f t="shared" si="67"/>
      </c>
      <c r="AK21" s="846">
        <f>IF(AB21=4,Z21,"")</f>
      </c>
      <c r="AL21" s="275"/>
      <c r="AM21" s="846">
        <f>IF(E21&lt;&gt;"",Z21,IF(OR(AM30="PL",COUNT(E19)+COUNT(E20)&gt;0),"",IF(AND(AB21=4,AE21=MAX($AE$18:$AE$20),COUNTIF(AE19:AE21,MAX(AE19:AE21))&gt;1,AH21=MIN(AH19:AH21)),Z21,IF(AND(AB21=4,AE21=MAX($AE$18:$AE$20),COUNTIF(AE19:AE21,MAX(AE19:AE21))&gt;1),"",IF(AND(AB21=4,AE21=MAX($AE$18:$AE$20)),Z21,"")))))</f>
      </c>
      <c r="AN21" s="1106"/>
      <c r="AO21" s="1110">
        <f>IF($AM21&lt;&gt;"",H21,IF(AND(OR($Z21="GE",$Z21="SW",AND(MAX(AB19:AB21,AB30:AB31)&lt;4,OR(Z30="PL",Z31="PL"))),$AB21&gt;=2,OR($BG21=$BM$7,$BI21=$BM$7)),H21,IF($AB21=3,"",IF(AND($AB21=4,OR($BG21=$BM$7,$BI21=$BM$7)),H21,""))))</f>
      </c>
      <c r="AP21" s="1106">
        <f>IF($AM21&lt;&gt;"",I21,IF(AND(OR($Z21="GE",$Z21="SW",AND(MAX(AB19:AB21,AB30:AB31)&lt;4,OR(Z30="PL",Z31="PL"))),$AB21&gt;=2,OR($BG21=$BN$7,$BI21=$BN$7)),I21,IF($AB21=3,"",IF(AND($AB21=4,OR($BG21=$BN$7,$BI21=$BN$7)),I21,""))))</f>
      </c>
      <c r="AQ21" s="1106">
        <f>IF($AM21&lt;&gt;"",J21,IF(AND(OR($Z21="GE",$Z21="SW",AND(MAX(AB19:AB21,AB30:AB31)&lt;4,OR(Z30="PL",Z31="PL"))),$AB21&gt;=2,OR($BG21=$BO$7,$BI21=$BO$7)),J21,IF($AB21=3,"",IF(AND($AB21=4,OR($BG21=$BO$7,$BI21=$BO$7)),J21,""))))</f>
      </c>
      <c r="AR21" s="1106">
        <f>IF($AM21&lt;&gt;"",K21,IF(AND(OR($Z21="GE",$Z21="SW",AND(MAX(AB19:AB21,AB30:AB31)&lt;4,OR(Z30="PL",Z31="PL"))),$AB21&gt;=2,OR($BG21=$BP$7,$BI21=$BP$7)),K21,IF($AB21=3,"",IF(AND($AB21=4,OR($BG21=$BP$7,$BI21=$BP$7)),K21,""))))</f>
      </c>
      <c r="AS21" s="1239">
        <f>IF(ISNA(MATCH("PL",$Z$18:$Z$30,0))=TRUE,"",IF(OR(ISERROR(LARGE($AT$18:$AW$21,1))=TRUE,VLOOKUP("PL",$Z$18:$AJ$30,11,FALSE)=""),"",IF(COUNT(AT21:AW21)&lt;2,"",LARGE(AT21:AW21,1)+LARGE(AT21:AW21,2))))</f>
      </c>
      <c r="AT21" s="1106">
        <f t="shared" si="95"/>
      </c>
      <c r="AU21" s="1106">
        <f t="shared" si="95"/>
      </c>
      <c r="AV21" s="1106">
        <f t="shared" si="95"/>
      </c>
      <c r="AW21" s="1106">
        <f t="shared" si="95"/>
      </c>
      <c r="AX21" s="277"/>
      <c r="AY21" s="980"/>
      <c r="AZ21" s="1111">
        <f ca="1">IF(OR($AZ$18&lt;&gt;0,$AZ$19&lt;&gt;0,$AZ$20&lt;&gt;0,$AY$19="",ISERROR(MATCH($AY$19,$AT$21:$AW$21,0)=TRUE),AS22&lt;&gt;21),0,MATCH($AY$19,INDIRECT("AT"&amp;$AS$22&amp;":AW"&amp;$AS$22),0)+45)</f>
        <v>0</v>
      </c>
      <c r="BA21" s="980">
        <f ca="1">IF(OR(BA20&lt;&gt;0,BA19&lt;&gt;0,BA18&lt;&gt;0,$AY$20="",ISERROR(MATCH($AY$20,AT21:AW21,0)=TRUE),AS22&lt;&gt;21),0,IF($AY$20&lt;&gt;$AY$19,MATCH($AY$20,AT21:AW21,0)+45,MATCH($AY$20,INDIRECT(ADDRESS(20,AZ22,4)):AW21,0)+AZ21))</f>
        <v>0</v>
      </c>
      <c r="BB21" s="275"/>
      <c r="BC21" s="275"/>
      <c r="BD21" s="980"/>
      <c r="BE21" s="277"/>
      <c r="BF21" s="277"/>
      <c r="BG21" s="846">
        <f>IF(BH21="","",MATCH(BH21,H21:K21,0))</f>
      </c>
      <c r="BH21" s="274">
        <f>IF(AND(OR(Z21="GE",Z21="SW",AND(MAX($AB$18:$AB$21)&lt;4,OR($Z$29="PL",$Z$30="PL"))),AB21&gt;=2),MAX(H21:K21),"")</f>
      </c>
      <c r="BI21" s="846"/>
      <c r="BJ21" s="274">
        <f>IF(AND(OR(Z21="GE",Z21="SW",AND(MAX($AB$18:$AB$21)&lt;4,OR($Z$29="PL",$Z$30="PL"))),AB21&gt;=2,BG21=1),MAX(I21:K21),IF(AND(OR(Z21="GE",Z21="SW",AND(MAX($AB$18:$AB$21)&lt;4,OR($Z$29="PL",$Z$30="PL"))),AB21&gt;=2,BG21=2),MAX(H21,J21,K21),IF(AND(OR(Z21="GE",Z21="SW",AND(MAX($AB$18:$AB$21)&lt;4,OR($Z$29="PL",$Z$30="PL"))),AB21&gt;=2,BG21=3),MAX(H21,I21,K21),IF(AND(OR(Z21="GE",Z21="SW",AND(MAX($AB$18:$AB$21)&lt;4,OR($Z$29="PL",$Z$30="PL"))),AB21&gt;=2,BG21=4),MAX(H21:J21),""))))</f>
      </c>
      <c r="BK21" s="248">
        <f>IF(AND(Z21="GE",AB21=1,AT21&gt;MIN($J$22:$K$22)),AT21,"")</f>
      </c>
      <c r="BL21" s="255">
        <f>IF(AND(Z21="SW",AB21=1,AT21&gt;MIN($J$23:$K$23)),AT21,"")</f>
      </c>
      <c r="BM21" s="846">
        <f>IF(OR(AO21&lt;&gt;"",$BD$19=""),AO21,IF(OR(AND(LEFT($BD$19,2)="AT",RIGHT($BD$19,2)="21"),AND(LEFT($BD$20,2)="AT",RIGHT($BD$20,2)="21")),AT21,AO21))</f>
      </c>
      <c r="BN21" s="846">
        <f>IF(OR(AP21&lt;&gt;"",$BD$19=""),AP21,IF(OR(AND(LEFT($BD$19,2)="AU",RIGHT($BD$19,2)="21"),AND(LEFT($BD$20,2)="AU",RIGHT($BD$20,2)="21")),AU21,AP21))</f>
      </c>
      <c r="BO21" s="846">
        <f>IF(OR(AQ21&lt;&gt;"",$BD$19=""),AQ21,IF(OR(AND(LEFT($BD$19,2)="AT",RIGHT($BD$19,2)="21"),AND(LEFT($BD$20,2)="AT",RIGHT($BD$20,2)="21")),AV21,AQ21))</f>
      </c>
      <c r="BP21" s="846">
        <f>IF(OR(AR21&lt;&gt;"",$BD$19=""),AR21,IF(OR(AND(LEFT($BD$19,2)="AW",RIGHT($BD$19,2)="21"),AND(LEFT($BD$20,2)="AW",RIGHT($BD$20,2)="21")),AW21,AR21))</f>
      </c>
      <c r="BQ21" s="274">
        <f t="shared" si="69"/>
        <v>0</v>
      </c>
      <c r="BR21" s="567">
        <f>IF(AND(E21&lt;&gt;1,E21&lt;&gt;2,Z21&lt;&gt;0),COUNTIF(BM21:BP21,"&lt;5"),0)</f>
        <v>0</v>
      </c>
      <c r="BS21" s="567">
        <f t="shared" si="62"/>
        <v>0</v>
      </c>
      <c r="BT21" s="846">
        <f>IF(OR(BM21&lt;&gt;"",H21="",$AA21&lt;&gt;0),"",H21)</f>
      </c>
      <c r="BU21" s="846">
        <f>IF(OR(BN21&lt;&gt;"",I21="",$AA21&lt;&gt;0),"",I21)</f>
      </c>
      <c r="BV21" s="846">
        <f>IF(OR(BO21&lt;&gt;"",J21="",$AA21&lt;&gt;0),"",J21)</f>
      </c>
      <c r="BW21" s="846">
        <f>IF(OR(BP21&lt;&gt;"",K21="",$AA21&lt;&gt;0),"",K21)</f>
      </c>
      <c r="BX21" s="329"/>
      <c r="BY21" s="1072">
        <f t="shared" si="8"/>
      </c>
      <c r="BZ21" s="393"/>
      <c r="CA21" s="846">
        <f t="shared" si="9"/>
      </c>
      <c r="CB21" s="846">
        <f t="shared" si="10"/>
      </c>
      <c r="CC21" s="846">
        <f t="shared" si="11"/>
      </c>
      <c r="CD21" s="846">
        <f t="shared" si="12"/>
      </c>
      <c r="CE21" s="919"/>
      <c r="CF21" s="1125">
        <f t="shared" si="13"/>
      </c>
      <c r="CG21" s="1125">
        <f t="shared" si="14"/>
      </c>
      <c r="CH21" s="1125">
        <f t="shared" si="15"/>
      </c>
      <c r="CI21" s="1125">
        <f t="shared" si="16"/>
      </c>
      <c r="CJ21" s="393"/>
      <c r="CK21" s="919"/>
      <c r="CL21" s="393"/>
      <c r="CM21" s="684"/>
      <c r="CN21" s="672"/>
      <c r="CO21" s="259">
        <f t="shared" si="17"/>
      </c>
      <c r="CP21" s="260">
        <f t="shared" si="18"/>
      </c>
      <c r="CQ21" s="259"/>
      <c r="CR21" s="260"/>
      <c r="CS21" s="345">
        <f>IF(OR($Z21="",H21=""),"",IF(BM21&lt;&gt;"",BM21,IF(CF21&lt;&gt;"",CF21,"("&amp;H21&amp;")")))</f>
      </c>
      <c r="CT21" s="345">
        <f>IF(OR($Z21="",I21=""),"",IF(BN21&lt;&gt;"",BN21,IF(CG21&lt;&gt;"",CG21,"("&amp;I21&amp;")")))</f>
      </c>
      <c r="CU21" s="345">
        <f>IF(OR($Z21="",J21=""),"",IF(BO21&lt;&gt;"",BO21,IF(CH21&lt;&gt;"",CH21,"("&amp;J21&amp;")")))</f>
      </c>
      <c r="CV21" s="345">
        <f>IF(OR($Z21="",K21=""),"",IF(BP21&lt;&gt;"",BP21,IF(CI21&lt;&gt;"",CI21,"("&amp;K21&amp;")")))</f>
      </c>
      <c r="CW21" s="50">
        <f t="shared" si="73"/>
      </c>
      <c r="CX21" s="69">
        <f>IF(OR(CP21=1,CP21=2,CO21=""),"",SUM(CS21:CV21))</f>
      </c>
      <c r="CY21" s="70">
        <f>IF(OR(CP21=1,CP21=2),2*SUM(CS21:CV21),"")</f>
      </c>
      <c r="CZ21" s="39"/>
      <c r="DA21" s="303"/>
      <c r="DB21" s="303"/>
      <c r="DC21" s="303"/>
      <c r="DD21" s="33"/>
      <c r="DE21" s="71">
        <f>IF(AND(CP21&lt;&gt;1,CP21&lt;&gt;2,CO21&lt;&gt;0),COUNTIF(CS21:CV21,"&lt;5"),"0")</f>
        <v>0</v>
      </c>
      <c r="DF21" s="71" t="str">
        <f>IF(OR(CP21=1,CP21=2),COUNTIF(CS21:CV21,"&lt;5"),"0")</f>
        <v>0</v>
      </c>
      <c r="DG21" s="393"/>
      <c r="DH21" s="393"/>
      <c r="DI21" s="919"/>
      <c r="DJ21" s="393"/>
      <c r="DK21" s="648">
        <f>IF($CN$5=1,IF(ISNA(MATCH(ADDRESS(ROW(BT21),COLUMN(BT21),4),$DH$10:$DH$12,0))=TRUE,"",BT21),IF(ISNA(MATCH(ADDRESS(ROW(BT73),COLUMN(BT73),4),$DH$10:$DH$12,0))=TRUE,"",BT73))</f>
      </c>
      <c r="DL21" s="648">
        <f>IF($CN$5=1,IF(ISNA(MATCH(ADDRESS(ROW(BU21),COLUMN(BU21),4),$DH$10:$DH$12,0))=TRUE,"",BU21),IF(ISNA(MATCH(ADDRESS(ROW(BU73),COLUMN(BU73),4),$DH$10:$DH$12,0))=TRUE,"",BU73))</f>
      </c>
      <c r="DM21" s="648">
        <f>IF($CN$5=1,IF(ISNA(MATCH(ADDRESS(ROW(BV21),COLUMN(BV21),4),$DH$10:$DH$12,0))=TRUE,"",BV21),IF(ISNA(MATCH(ADDRESS(ROW(BV73),COLUMN(BV73),4),$DH$10:$DH$12,0))=TRUE,"",BV73))</f>
      </c>
      <c r="DN21" s="648">
        <f>IF($CN$5=1,IF(ISNA(MATCH(ADDRESS(ROW(BW21),COLUMN(BW21),4),$DH$10:$DH$12,0))=TRUE,"",BW21),IF(ISNA(MATCH(ADDRESS(ROW(BW73),COLUMN(BW73),4),$DH$10:$DH$12,0))=TRUE,"",BW73))</f>
      </c>
      <c r="DO21" s="919"/>
      <c r="DP21" s="393"/>
      <c r="DQ21" s="684"/>
      <c r="DR21" s="672"/>
      <c r="DS21" s="259">
        <f>CO21</f>
      </c>
      <c r="DT21" s="260">
        <f>CP21</f>
      </c>
      <c r="DU21" s="259"/>
      <c r="DV21" s="260"/>
      <c r="DW21" s="345">
        <f>IF($CN$5=1,IF(DK21="",CS21,DK21),IF(DK21="",CS73,DK21))</f>
      </c>
      <c r="DX21" s="345">
        <f>IF($CN$5=1,IF(DL21="",CT21,DL21),IF(DL21="",CT73,DL21))</f>
      </c>
      <c r="DY21" s="345">
        <f>IF($CN$5=1,IF(DM21="",CU21,DM21),IF(DM21="",CU73,DM21))</f>
      </c>
      <c r="DZ21" s="345">
        <f>IF($CN$5=1,IF(DN21="",CV21,DN21),IF(DN21="",CV73,DN21))</f>
      </c>
      <c r="EA21" s="50">
        <f>IF(DS21="","",COUNTA(DW21:DZ21)-COUNTIF(DW21:DZ21,""))</f>
      </c>
      <c r="EB21" s="69">
        <f>IF(OR(DT21=1,DT21=2,DS21=""),"",SUM(DW21:DZ21))</f>
      </c>
      <c r="EC21" s="70">
        <f>IF(OR(DT21=1,DT21=2),2*SUM(DW21:DZ21),"")</f>
      </c>
      <c r="ED21" s="39"/>
      <c r="EE21" s="303"/>
      <c r="EF21" s="303"/>
      <c r="EG21" s="71">
        <f>IF(AND(DT21&lt;&gt;1,DT21&lt;&gt;2,DS21&lt;&gt;0),COUNTIF(DW21:DZ21,"&lt;5"),"0")</f>
        <v>0</v>
      </c>
      <c r="EH21" s="71" t="str">
        <f>IF(OR(DT21=1,DT21=2),COUNTIF(DW21:DZ21,"&lt;5"),"0")</f>
        <v>0</v>
      </c>
      <c r="EI21" s="393"/>
      <c r="EJ21" s="393"/>
      <c r="EK21" s="393"/>
      <c r="EL21" s="393"/>
      <c r="EM21" s="393"/>
      <c r="EN21" s="568"/>
      <c r="EO21" s="574">
        <f>BM21</f>
      </c>
      <c r="EP21" s="572">
        <f>BN21</f>
      </c>
      <c r="EQ21" s="572">
        <f>BO21</f>
      </c>
      <c r="ER21" s="575">
        <f>BP21</f>
      </c>
      <c r="ES21" s="391">
        <f t="shared" si="34"/>
        <v>0</v>
      </c>
      <c r="ET21" s="391"/>
      <c r="EU21" s="578">
        <f>BT21</f>
      </c>
      <c r="EV21" s="578">
        <f>BU21</f>
      </c>
      <c r="EW21" s="578">
        <f>BV21</f>
      </c>
      <c r="EX21" s="578">
        <f>BW21</f>
      </c>
      <c r="EY21" s="685"/>
      <c r="EZ21" s="579"/>
      <c r="FA21" s="962">
        <f>COUNTIF(EO21:ER21,"&lt;5")</f>
        <v>0</v>
      </c>
      <c r="FB21" s="962">
        <f>COUNTIF(EU21:EX21,"&lt;5")</f>
        <v>0</v>
      </c>
      <c r="FC21" s="684"/>
      <c r="FD21" s="33" t="e">
        <f>IF(FD20="","",IF(OR(COUNT($EO$10:$ER$30)+FD20&lt;38,AND(MAX($FD$11:FD20)+$ET$37&lt;40,AND(ET47&lt;40,FF21&gt;EV47))),FD20+1,""))</f>
        <v>#NUM!</v>
      </c>
      <c r="FE21" s="248">
        <v>11</v>
      </c>
      <c r="FF21" s="33">
        <f t="shared" si="93"/>
      </c>
      <c r="FG21" s="33">
        <f ca="1">IF(OR($FF21="",ISERROR(MATCH($FF21,EX$11:EX$32,0))=TRUE),0,IF(OR(AND(COUNTIF(EX$11:EX$32,$FF21)=1,ISNA(MATCH(MATCH($FF21,EX$11:EX$32,0)+10,FG$11:FG20,0)=TRUE)),AND(COUNTIF(EX$11:EX$32,$FF21)&gt;=2,$FF20&lt;&gt;$FF21)),MATCH($FF21,EX$11:EX$32,0)+10,IF(AND(COUNTIF(EX$11:EX$32,$FF21)&gt;=2,COUNTIF(INDIRECT("FG$"&amp;MATCH($FF21,$FF$11:$FF21,0)+10):FG20,"&gt;0")&lt;COUNTIF(EX$11:EX$32,$FF21)),MATCH($FF21,INDIRECT("EX"&amp;FG20+1):$EX$34,0)+FG20,0)))</f>
        <v>0</v>
      </c>
      <c r="FH21" s="33">
        <f ca="1">IF(OR($FF21="",FG21&lt;&gt;0,ISERROR(MATCH($FF21,$EW$11:$EW$32,0))=TRUE),0,IF(OR(AND(COUNTIF($EW$11:$EW$32,$FF21)=1,ISNA(MATCH(MATCH($FF21,$EW$11:$EW$32,0)+10,FH$11:FH20,0)=TRUE)),AND(COUNTIF($EW$11:$EW$32,$FF21)&gt;=2,$FF20&lt;&gt;$FF21)),MATCH($FF21,$EW$11:$EW$32,0)+10,IF(AND(COUNTIF($EW$11:$EW$32,$FF21)&gt;=2,COUNTIF(INDIRECT("FH$"&amp;MATCH($FF21,$FF$11:$FF21,0)+10):FH20,"&gt;0")&lt;COUNTIF($EW$11:$EW$32,$FF21)),MATCH($FF21,INDIRECT("EW"&amp;FH20+1):$EW$34,0)+FH20,0)))</f>
        <v>0</v>
      </c>
      <c r="FI21" s="33">
        <f ca="1">IF(OR($FF21="",FG21&lt;&gt;0,FH21&lt;&gt;0,ISERROR(MATCH($FF21,EV$11:EV$32,0))=TRUE),0,IF(OR(AND(COUNTIF(EV$11:EV$32,$FF21)=1,ISNA(MATCH(MATCH($FF21,EV$11:EV$32,0)+10,FI$11:FI20,0)=TRUE)),AND(COUNTIF(EV$11:EV$32,$FF21)&gt;=2,$FF20&lt;&gt;$FF21)),MATCH($FF21,EV$11:EV$32,0)+10,IF(AND(COUNTIF(EV$11:EV$32,$FF21)&gt;=2,COUNTIF(INDIRECT("FI$"&amp;MATCH($FF21,$FF$11:$FF21,0)+10):FI20,"&gt;0")&lt;COUNTIF(EV$11:EV$32,$FF21)),MATCH($FF21,INDIRECT("EV"&amp;FI20+1):$EV$34,0)+FI20,0)))</f>
        <v>0</v>
      </c>
      <c r="FJ21" s="33">
        <f ca="1">IF(OR($FF21="",FG21&lt;&gt;0,FH21&lt;&gt;0,FI21&lt;&gt;0,ISERROR(MATCH($FF21,$EU$11:$EU$32,0))=TRUE),0,IF(OR(AND(COUNTIF($EU$11:$EU$32,$FF21)=1,ISNA(MATCH(MATCH($FF21,$EU$11:$EU$32,0)+10,FJ$11:FJ20,0)=TRUE)),AND(COUNTIF($EU$11:$EU$32,$FF21)&gt;=2,$FF20&lt;&gt;$FF21)),MATCH($FF21,$EU$11:$EU$32,0)+10,IF(AND(COUNTIF($EU$11:$EU$32,$FF21)&gt;=2,COUNTIF(INDIRECT("FJ$"&amp;MATCH($FF21,$FF$11:$FF21,0)+10):FJ20,"&gt;0")&lt;COUNTIF($EU$11:$EU$32,$FF21)),MATCH($FF21,INDIRECT("EU"&amp;FJ20+1):$EU$34,0)+FJ20,0)))</f>
        <v>0</v>
      </c>
      <c r="FK21" s="61" t="str">
        <f>IF(FG21&lt;&gt;0,$FG$10&amp;FG21,IF(FH21&lt;&gt;0,$FH$10&amp;FH21,IF(FI21&lt;&gt;0,$FI$10&amp;FI21,$FJ$10&amp;FJ21)))</f>
        <v>EU0</v>
      </c>
      <c r="FL21" s="842">
        <f t="shared" si="38"/>
      </c>
      <c r="FM21" s="842">
        <f t="shared" si="39"/>
      </c>
      <c r="FN21" s="842">
        <f t="shared" si="40"/>
      </c>
      <c r="FO21" s="842">
        <f t="shared" si="41"/>
      </c>
      <c r="FP21" s="255" t="e">
        <f>FD21</f>
        <v>#NUM!</v>
      </c>
      <c r="FQ21" s="917">
        <f ca="1">IF(AND(RIGHT(FK20,2)="31",COUNTA($FQ$11:FQ20)-COUNTIF($FQ$11:FQ20,"")=0),ADDRESS(31,COLUMN(INDIRECT(FK20))-1,4),"")</f>
      </c>
      <c r="FR21" s="917">
        <f>RIGHT(FQ21,2)</f>
      </c>
      <c r="FS21" s="917" t="e">
        <f>IF(FQ21&lt;&gt;"",FQ21,IF(FP21="","",IF(COUNTA($FQ$11:FQ20)-COUNTIF($FQ$11:FQ20,"")&lt;&gt;1,VLOOKUP(FP21,$FD$11:$FK$23,8,FALSE),VLOOKUP(FP21-1,$FE$11:$FK$23,7,FALSE))))</f>
        <v>#NUM!</v>
      </c>
      <c r="FT21" s="938" t="e">
        <f>IF(AND($FR$26&gt;MAX($FP$11:$FP$22),FP21=$FR$26-2,$FR$26-1=MAX($FP$11:$FP$22)),"",IF(AND(FS21&lt;&gt;"",ISNA(MATCH(FS21,$FT$11:FT20,0))=FALSE),FK21,FS21))</f>
        <v>#NUM!</v>
      </c>
      <c r="FU21" s="255"/>
      <c r="FV21" s="672"/>
      <c r="FW21" s="259">
        <f t="shared" si="79"/>
      </c>
      <c r="FX21" s="260">
        <f t="shared" si="80"/>
      </c>
      <c r="FY21" s="259"/>
      <c r="FZ21" s="260"/>
      <c r="GA21" s="1058">
        <f t="shared" si="81"/>
      </c>
      <c r="GB21" s="348">
        <f t="shared" si="82"/>
      </c>
      <c r="GC21" s="348">
        <f t="shared" si="83"/>
      </c>
      <c r="GD21" s="348">
        <f t="shared" si="84"/>
      </c>
      <c r="GE21" s="50">
        <f>IF(FW21="","",COUNTA(GA21:GD21)-COUNTIF(GA21:GD21,""))</f>
      </c>
      <c r="GF21" s="69">
        <f>IF(OR(FX21=1,FX21=2,FW21=""),"",SUM(GA21:GD21))</f>
      </c>
      <c r="GG21" s="70">
        <f>IF(OR(FX21=1,FX21=2),2*SUM(GA21:GD21),"")</f>
      </c>
      <c r="GH21" s="39"/>
      <c r="GI21" s="303"/>
      <c r="GJ21" s="303"/>
      <c r="GK21" s="71">
        <f>IF(AND(FX21&lt;&gt;1,FX21&lt;&gt;2,FW21&lt;&gt;0),COUNTIF(GA21:GD21,"&lt;5"),"0")</f>
        <v>0</v>
      </c>
      <c r="GL21" s="71" t="str">
        <f>IF(OR(FX21=1,FX21=2),COUNTIF(GA21:GD21,"&lt;5"),"0")</f>
        <v>0</v>
      </c>
      <c r="GM21" s="71"/>
      <c r="GN21" s="71"/>
      <c r="GO21" s="71">
        <v>11</v>
      </c>
      <c r="GP21" s="71">
        <f>IF(ISERROR(SMALL($FL$11:$FO$32,GO21))=TRUE,"",SMALL($FL$11:$FO$32,GO21))</f>
      </c>
      <c r="GQ21" s="61">
        <f ca="1">IF(OR($GP21="",ISERROR(MATCH($GP21,$FL$11:$FL$32,0))=TRUE),0,IF(OR(AND(COUNTIF($FL$11:$FL$32,$GP21)=1,ISNA(MATCH(MATCH($GP21,$FL$11:$FL$32,0)+10,GQ$11:GQ20,0)=TRUE)),AND(COUNTIF($FL$11:$FL$32,$GP21)&gt;=2,$GP20&lt;&gt;$GP21)),MATCH($GP21,$FL$11:$FL$32,0)+10,IF(AND(COUNTIF($FL$11:$FL$32,$GP21)&gt;=2,COUNTIF(INDIRECT("GQ$"&amp;MATCH($GP21,$GP$11:$GP21,0)+10):GQ20,"&gt;0")&lt;COUNTIF($FL$11:$FL$32,$GP21)),MATCH($GP21,INDIRECT("FL"&amp;GQ20+1):$FL$34,0)+GQ20,0)))</f>
        <v>0</v>
      </c>
      <c r="GR21" s="61">
        <f ca="1">IF(OR($GP21="",GQ21&lt;&gt;0,ISERROR(MATCH($GP21,$FM$11:$FM$32,0))=TRUE),0,IF(OR(AND(COUNTIF($FM$11:$FM$32,$GP21)=1,ISNA(MATCH(MATCH($GP21,$FM$11:$FM$32,0)+10,GR$11:GR20,0)=TRUE)),AND(COUNTIF($FM$11:$FM$32,$GP21)&gt;=2,$GP20&lt;&gt;$GP21)),MATCH($GP21,$FM$11:$FM$32,0)+10,IF(AND(COUNTIF($FM$11:$FM$32,$GP21)&gt;=2,COUNTIF(INDIRECT("GR$"&amp;MATCH($GP21,$GP$11:$GP21,0)+10):GR20,"&gt;0")&lt;COUNTIF($FM$11:$FM$32,$GP21)),MATCH($GP21,INDIRECT("FM"&amp;GR20+1):$FM$34,0)+GR20,0)))</f>
        <v>0</v>
      </c>
      <c r="GS21" s="61">
        <f ca="1">IF(OR($GP21="",GQ21&lt;&gt;0,GR21&lt;&gt;0,ISERROR(MATCH($GP21,$FN$11:$FN$32,0))=TRUE),0,IF(OR(AND(COUNTIF($FN$11:$FN$32,$GP21)=1,ISNA(MATCH(MATCH($GP21,$FN$11:$FN$32,0)+10,GS$11:GS20,0)=TRUE)),AND(COUNTIF($FN$11:$FN$32,$GP21)&gt;=2,$GP20&lt;&gt;$GP21)),MATCH($GP21,$FN$11:$FN$32,0)+10,IF(AND(COUNTIF($FN$11:$FN$32,$GP21)&gt;=2,COUNTIF(INDIRECT("GS$"&amp;MATCH($GP21,$GP$11:$GP21,0)+10):GS20,"&gt;0")&lt;COUNTIF($FN$11:$FN$32,$GP21)),MATCH($GP21,INDIRECT("FN"&amp;GS20+1):$GS$34,0)+GS20,0)))</f>
        <v>0</v>
      </c>
      <c r="GT21" s="61">
        <f ca="1">IF(OR($GP21="",GQ21&lt;&gt;0,GR21&lt;&gt;0,GS21&lt;&gt;0,ISERROR(MATCH($GP21,$FO$11:$FO$32,0))=TRUE),0,IF(OR(AND(COUNTIF($FO$11:$FO$32,$GP21)=1,ISNA(MATCH(MATCH($GP21,$FO$11:$FO$32,0)+10,GT$11:GT20,0)=TRUE)),AND(COUNTIF($FO$11:$FO$32,$GP21)&gt;=2,$GP20&lt;&gt;$GP21)),MATCH($GP21,$FO$11:$FO$32,0)+10,IF(AND(COUNTIF($FO$11:$FO$32,$GP21)&gt;=2,COUNTIF(INDIRECT("GT$"&amp;MATCH($GP21,$GP$11:$GP21,0)+10):GT20,"&gt;0")&lt;COUNTIF($FO$11:$FO$32,$GP21)),MATCH($GP21,INDIRECT("FO"&amp;GT20+1):$FO$34,0)+GT20,0)))</f>
        <v>0</v>
      </c>
      <c r="GU21" s="61">
        <f>IF(GQ21&lt;&gt;0,$GQ$10&amp;GQ21,IF(GR21&lt;&gt;0,$GR$10&amp;GR21,IF(GS21&lt;&gt;0,$GS$10&amp;GS21,IF(GT21&lt;&gt;0,$GT$10&amp;GT21,""))))</f>
      </c>
      <c r="GV21" s="1065">
        <f t="shared" si="51"/>
      </c>
      <c r="GW21" s="1065">
        <f t="shared" si="52"/>
      </c>
      <c r="GX21" s="1065">
        <f t="shared" si="53"/>
      </c>
      <c r="GY21" s="1065">
        <f t="shared" si="54"/>
      </c>
      <c r="GZ21" s="393"/>
      <c r="HA21" s="324"/>
      <c r="HB21" s="672"/>
      <c r="HC21" s="259">
        <f t="shared" si="86"/>
      </c>
      <c r="HD21" s="260">
        <f t="shared" si="87"/>
      </c>
      <c r="HE21" s="259"/>
      <c r="HF21" s="260"/>
      <c r="HG21" s="345">
        <f t="shared" si="88"/>
      </c>
      <c r="HH21" s="345">
        <f t="shared" si="89"/>
      </c>
      <c r="HI21" s="345">
        <f t="shared" si="90"/>
      </c>
      <c r="HJ21" s="345">
        <f t="shared" si="91"/>
      </c>
      <c r="HK21" s="50">
        <f>IF(HC21="","",COUNTA(HG21:HJ21)-COUNTIF(HG21:HJ21,""))</f>
      </c>
      <c r="HL21" s="69">
        <f>IF(OR(HD21=1,HD21=2,HC21=""),"",SUM(HG21:HJ21))</f>
      </c>
      <c r="HM21" s="70">
        <f>IF(OR(HD21=1,HD21=2),2*SUM(HG21:HJ21),"")</f>
      </c>
      <c r="HN21" s="39"/>
      <c r="HO21" s="303"/>
      <c r="HP21" s="303"/>
      <c r="HQ21" s="71">
        <f>IF(AND(HD21&lt;&gt;1,HD21&lt;&gt;2,HC21&lt;&gt;0),COUNTIF(HG21:HJ21,"&lt;5"),"0")</f>
        <v>0</v>
      </c>
      <c r="HR21" s="71" t="str">
        <f>IF(OR(HD21=1,HD21=2),COUNTIF(HG21:HJ21,"&lt;5"),"0")</f>
        <v>0</v>
      </c>
    </row>
    <row r="22" spans="2:226" ht="15" customHeight="1">
      <c r="B22" s="709"/>
      <c r="C22" s="852"/>
      <c r="D22" s="337">
        <f>IF(Zulassung!D21="","",Zulassung!D21)</f>
      </c>
      <c r="E22" s="514">
        <f>IF(Zulassung!E21="","",Zulassung!E21)</f>
      </c>
      <c r="F22" s="515"/>
      <c r="G22" s="516"/>
      <c r="H22" s="550">
        <f>IF(Zulassung!H21="","",Zulassung!H21)</f>
      </c>
      <c r="I22" s="551">
        <f>IF(Zulassung!I21="","",Zulassung!I21)</f>
      </c>
      <c r="J22" s="551">
        <f>IF(Zulassung!J21="","",Zulassung!J21)</f>
      </c>
      <c r="K22" s="552">
        <f>IF(Zulassung!K21="","",Zulassung!K21)</f>
      </c>
      <c r="L22" s="370">
        <f t="shared" si="0"/>
      </c>
      <c r="O22" s="681"/>
      <c r="P22" s="255"/>
      <c r="Q22" s="1394"/>
      <c r="R22" s="1394"/>
      <c r="S22" s="303"/>
      <c r="T22" s="842">
        <f t="shared" si="60"/>
        <v>0</v>
      </c>
      <c r="U22" s="842" t="str">
        <f t="shared" si="2"/>
        <v>0</v>
      </c>
      <c r="V22" s="842">
        <f t="shared" si="3"/>
        <v>0</v>
      </c>
      <c r="W22" s="842">
        <f t="shared" si="4"/>
        <v>0</v>
      </c>
      <c r="Z22" s="842">
        <f t="shared" si="61"/>
      </c>
      <c r="AA22" s="842"/>
      <c r="AB22" s="842">
        <f t="shared" si="94"/>
        <v>0</v>
      </c>
      <c r="AC22" s="842">
        <f>IF(ISNA(MATCH("GE",Z18:Z20,0))=TRUE,2,IF(VLOOKUP("GE",D18:L20,9,FALSE)&lt;2,2,0))</f>
        <v>2</v>
      </c>
      <c r="AD22" s="842">
        <f>IF(D22="","",IF(AB22&gt;=AC22,"W","F"))</f>
      </c>
      <c r="AE22" s="273"/>
      <c r="AF22" s="273"/>
      <c r="AG22" s="273"/>
      <c r="AH22" s="273"/>
      <c r="AI22" s="273"/>
      <c r="AJ22" s="289"/>
      <c r="AK22" s="61"/>
      <c r="AL22" s="61"/>
      <c r="AM22" s="33"/>
      <c r="AN22" s="33"/>
      <c r="AO22" s="61"/>
      <c r="AP22" s="61"/>
      <c r="AQ22" s="1239"/>
      <c r="AR22" s="1240" t="s">
        <v>530</v>
      </c>
      <c r="AS22" s="1239">
        <f>IF(OR(MAX(AS18:AS21)=0,AND(ISNA(MATCH("PL",D18:D30,0))=FALSE,ISNA(VLOOKUP("PL",D18:E30,2,FALSE))=FALSE,COUNT(E18:E21)+COUNT(E29:E30)=2)),"",MATCH(MAX(AS18:AS21),AS18:AS21,0)+17)</f>
      </c>
      <c r="AT22" s="61"/>
      <c r="AU22" s="61"/>
      <c r="AV22" s="61"/>
      <c r="AW22" s="61"/>
      <c r="AX22" s="61"/>
      <c r="AY22" s="248"/>
      <c r="AZ22" s="1111">
        <f>MAX(AZ18:AZ21)</f>
        <v>0</v>
      </c>
      <c r="BA22" s="1112">
        <f>MAX(BA18:BA21)</f>
        <v>0</v>
      </c>
      <c r="BB22" s="248"/>
      <c r="BC22" s="248"/>
      <c r="BD22" s="61"/>
      <c r="BE22" s="61"/>
      <c r="BF22" s="61"/>
      <c r="BG22" s="61"/>
      <c r="BH22" s="382" t="s">
        <v>532</v>
      </c>
      <c r="BI22" s="326">
        <f>J22</f>
      </c>
      <c r="BJ22" s="326">
        <f>K22</f>
      </c>
      <c r="BK22" s="326">
        <f>MAX(BK18:BK21)</f>
        <v>0</v>
      </c>
      <c r="BL22" s="273"/>
      <c r="BM22" s="330"/>
      <c r="BN22" s="330"/>
      <c r="BO22" s="842">
        <f>IF(OR($Z22="",BI22=SMALL(BI22:BK22,1)),"",J22)</f>
      </c>
      <c r="BP22" s="842">
        <f>IF(OR($Z22="",BJ22=SMALL(BI22:BK22,1)),"",K22)</f>
      </c>
      <c r="BQ22" s="247">
        <f>IF(B22&lt;&gt;"",SUM(H22:K22),0)</f>
        <v>0</v>
      </c>
      <c r="BR22" s="567">
        <f t="shared" si="5"/>
        <v>0</v>
      </c>
      <c r="BS22" s="567">
        <f t="shared" si="6"/>
        <v>0</v>
      </c>
      <c r="BT22" s="330"/>
      <c r="BU22" s="330"/>
      <c r="BV22" s="842">
        <f>IF(AND(BO22="",BI22&lt;&gt;""),BI22,"")</f>
      </c>
      <c r="BW22" s="842">
        <f>IF(AND(BP22="",BJ22&lt;&gt;""),BJ22,"")</f>
      </c>
      <c r="BX22" s="290"/>
      <c r="BY22" s="1072">
        <f aca="true" t="shared" si="97" ref="BY22:BY31">IF(ISERROR(MATCH($BX$33,BT22:BW22,0)=TRUE),"","x")</f>
      </c>
      <c r="BZ22" s="393"/>
      <c r="CA22" s="842">
        <f t="shared" si="9"/>
      </c>
      <c r="CB22" s="842">
        <f t="shared" si="10"/>
      </c>
      <c r="CC22" s="842">
        <f t="shared" si="11"/>
      </c>
      <c r="CD22" s="842">
        <f t="shared" si="12"/>
      </c>
      <c r="CE22" s="919"/>
      <c r="CF22" s="1033">
        <f t="shared" si="13"/>
      </c>
      <c r="CG22" s="1033">
        <f t="shared" si="14"/>
      </c>
      <c r="CH22" s="1033">
        <f t="shared" si="15"/>
      </c>
      <c r="CI22" s="1033">
        <f t="shared" si="16"/>
      </c>
      <c r="CJ22" s="393"/>
      <c r="CK22" s="919"/>
      <c r="CL22" s="393"/>
      <c r="CM22" s="684"/>
      <c r="CN22" s="672"/>
      <c r="CO22" s="259">
        <f t="shared" si="17"/>
      </c>
      <c r="CP22" s="260">
        <f t="shared" si="18"/>
      </c>
      <c r="CQ22" s="259"/>
      <c r="CR22" s="260"/>
      <c r="CS22" s="348">
        <f>""</f>
      </c>
      <c r="CT22" s="348">
        <f>""</f>
      </c>
      <c r="CU22" s="345">
        <f>IF(OR($Z22="",J22=""),"",IF(BO22&lt;&gt;"",BO22,IF(CH22&lt;&gt;"",CH22,"("&amp;J22&amp;")")))</f>
      </c>
      <c r="CV22" s="345">
        <f>IF(OR($Z22="",K22=""),"",IF(BP22&lt;&gt;"",BP22,IF(CI22&lt;&gt;"",CI22,"("&amp;K22&amp;")")))</f>
      </c>
      <c r="CW22" s="50">
        <f>IF(CO22="","",COUNT(CU22:CV22))</f>
      </c>
      <c r="CX22" s="69">
        <f t="shared" si="20"/>
      </c>
      <c r="CY22" s="70">
        <f t="shared" si="21"/>
      </c>
      <c r="CZ22" s="39"/>
      <c r="DA22" s="303"/>
      <c r="DB22" s="303"/>
      <c r="DC22" s="303"/>
      <c r="DD22" s="33"/>
      <c r="DE22" s="71">
        <f t="shared" si="22"/>
        <v>0</v>
      </c>
      <c r="DF22" s="71" t="str">
        <f t="shared" si="23"/>
        <v>0</v>
      </c>
      <c r="DG22" s="393"/>
      <c r="DH22" s="393"/>
      <c r="DI22" s="919"/>
      <c r="DJ22" s="393"/>
      <c r="DK22" s="327"/>
      <c r="DL22" s="327"/>
      <c r="DM22" s="327"/>
      <c r="DN22" s="327"/>
      <c r="DO22" s="919"/>
      <c r="DP22" s="393"/>
      <c r="DQ22" s="684"/>
      <c r="DR22" s="672"/>
      <c r="DS22" s="259">
        <f t="shared" si="25"/>
      </c>
      <c r="DT22" s="260">
        <f t="shared" si="26"/>
      </c>
      <c r="DU22" s="259"/>
      <c r="DV22" s="260"/>
      <c r="DW22" s="348">
        <f aca="true" t="shared" si="98" ref="DW22:DZ24">IF(DK22="",CS22,DK22)</f>
      </c>
      <c r="DX22" s="348">
        <f t="shared" si="98"/>
      </c>
      <c r="DY22" s="348">
        <f t="shared" si="98"/>
      </c>
      <c r="DZ22" s="348">
        <f t="shared" si="98"/>
      </c>
      <c r="EA22" s="50">
        <f>IF(DS22="","",COUNT(DY22:DZ22))</f>
      </c>
      <c r="EB22" s="69">
        <f t="shared" si="28"/>
      </c>
      <c r="EC22" s="70">
        <f t="shared" si="29"/>
      </c>
      <c r="ED22" s="39"/>
      <c r="EE22" s="303"/>
      <c r="EF22" s="303"/>
      <c r="EG22" s="71">
        <f t="shared" si="30"/>
        <v>0</v>
      </c>
      <c r="EH22" s="71" t="str">
        <f t="shared" si="31"/>
        <v>0</v>
      </c>
      <c r="EI22" s="393"/>
      <c r="EJ22" s="393"/>
      <c r="EK22" s="393"/>
      <c r="EL22" s="393"/>
      <c r="EM22" s="393"/>
      <c r="EN22" s="568" t="s">
        <v>388</v>
      </c>
      <c r="EO22" s="928"/>
      <c r="EP22" s="255"/>
      <c r="EQ22" s="572">
        <f aca="true" t="shared" si="99" ref="EQ22:ER24">BO22</f>
      </c>
      <c r="ER22" s="575">
        <f t="shared" si="99"/>
      </c>
      <c r="ES22" s="391">
        <f t="shared" si="34"/>
        <v>0</v>
      </c>
      <c r="ET22" s="391"/>
      <c r="EU22" s="672"/>
      <c r="EV22" s="672"/>
      <c r="EW22" s="685">
        <f>BV22</f>
      </c>
      <c r="EX22" s="685"/>
      <c r="EY22" s="685"/>
      <c r="EZ22" s="579"/>
      <c r="FA22" s="962">
        <f t="shared" si="1"/>
        <v>0</v>
      </c>
      <c r="FB22" s="962">
        <f t="shared" si="36"/>
        <v>0</v>
      </c>
      <c r="FC22" s="684"/>
      <c r="FD22" s="33" t="e">
        <f>IF(FD21="","",IF(OR(COUNT($EO$10:$ER$30)+FD21&lt;38,AND(MAX($FD$11:FD21)+$ET$37&lt;40,AND(ET48&lt;40,FF22&gt;EV48))),FD21+1,""))</f>
        <v>#NUM!</v>
      </c>
      <c r="FE22" s="248">
        <v>12</v>
      </c>
      <c r="FF22" s="33">
        <f t="shared" si="93"/>
      </c>
      <c r="FG22" s="33">
        <f ca="1">IF(OR($FF22="",ISERROR(MATCH($FF22,EX$11:EX$32,0))=TRUE),0,IF(OR(AND(COUNTIF(EX$11:EX$32,$FF22)=1,ISNA(MATCH(MATCH($FF22,EX$11:EX$32,0)+10,FG$11:FG21,0)=TRUE)),AND(COUNTIF(EX$11:EX$32,$FF22)&gt;=2,$FF21&lt;&gt;$FF22)),MATCH($FF22,EX$11:EX$32,0)+10,IF(AND(COUNTIF(EX$11:EX$32,$FF22)&gt;=2,COUNTIF(INDIRECT("FG$"&amp;MATCH($FF22,$FF$11:$FF22,0)+10):FG21,"&gt;0")&lt;COUNTIF(EX$11:EX$32,$FF22)),MATCH($FF22,INDIRECT("EX"&amp;FG21+1):$EX$34,0)+FG21,0)))</f>
        <v>0</v>
      </c>
      <c r="FH22" s="33">
        <f ca="1">IF(OR($FF22="",FG22&lt;&gt;0,ISERROR(MATCH($FF22,$EW$11:$EW$32,0))=TRUE),0,IF(OR(AND(COUNTIF($EW$11:$EW$32,$FF22)=1,ISNA(MATCH(MATCH($FF22,$EW$11:$EW$32,0)+10,FH$11:FH21,0)=TRUE)),AND(COUNTIF($EW$11:$EW$32,$FF22)&gt;=2,$FF21&lt;&gt;$FF22)),MATCH($FF22,$EW$11:$EW$32,0)+10,IF(AND(COUNTIF($EW$11:$EW$32,$FF22)&gt;=2,COUNTIF(INDIRECT("FH$"&amp;MATCH($FF22,$FF$11:$FF22,0)+10):FH21,"&gt;0")&lt;COUNTIF($EW$11:$EW$32,$FF22)),MATCH($FF22,INDIRECT("EW"&amp;FH21+1):$EW$34,0)+FH21,0)))</f>
        <v>0</v>
      </c>
      <c r="FI22" s="33">
        <f ca="1">IF(OR($FF22="",FG22&lt;&gt;0,FH22&lt;&gt;0,ISERROR(MATCH($FF22,EV$11:EV$32,0))=TRUE),0,IF(OR(AND(COUNTIF(EV$11:EV$32,$FF22)=1,ISNA(MATCH(MATCH($FF22,EV$11:EV$32,0)+10,FI$11:FI21,0)=TRUE)),AND(COUNTIF(EV$11:EV$32,$FF22)&gt;=2,$FF21&lt;&gt;$FF22)),MATCH($FF22,EV$11:EV$32,0)+10,IF(AND(COUNTIF(EV$11:EV$32,$FF22)&gt;=2,COUNTIF(INDIRECT("FI$"&amp;MATCH($FF22,$FF$11:$FF22,0)+10):FI21,"&gt;0")&lt;COUNTIF(EV$11:EV$32,$FF22)),MATCH($FF22,INDIRECT("EV"&amp;FI21+1):$EV$34,0)+FI21,0)))</f>
        <v>0</v>
      </c>
      <c r="FJ22" s="33">
        <f ca="1">IF(OR($FF22="",FG22&lt;&gt;0,FH22&lt;&gt;0,FI22&lt;&gt;0,ISERROR(MATCH($FF22,$EU$11:$EU$32,0))=TRUE),0,IF(OR(AND(COUNTIF($EU$11:$EU$32,$FF22)=1,ISNA(MATCH(MATCH($FF22,$EU$11:$EU$32,0)+10,FJ$11:FJ21,0)=TRUE)),AND(COUNTIF($EU$11:$EU$32,$FF22)&gt;=2,$FF21&lt;&gt;$FF22)),MATCH($FF22,$EU$11:$EU$32,0)+10,IF(AND(COUNTIF($EU$11:$EU$32,$FF22)&gt;=2,COUNTIF(INDIRECT("FJ$"&amp;MATCH($FF22,$FF$11:$FF22,0)+10):FJ21,"&gt;0")&lt;COUNTIF($EU$11:$EU$32,$FF22)),MATCH($FF22,INDIRECT("EU"&amp;FJ21+1):$EU$34,0)+FJ21,0)))</f>
        <v>0</v>
      </c>
      <c r="FK22" s="61" t="str">
        <f>IF(FG22&lt;&gt;0,$FG$10&amp;FG22,IF(FH22&lt;&gt;0,$FH$10&amp;FH22,IF(FI22&lt;&gt;0,$FI$10&amp;FI22,$FJ$10&amp;FJ22)))</f>
        <v>EU0</v>
      </c>
      <c r="FL22" s="842">
        <f t="shared" si="38"/>
      </c>
      <c r="FM22" s="842">
        <f t="shared" si="39"/>
      </c>
      <c r="FN22" s="842">
        <f t="shared" si="40"/>
      </c>
      <c r="FO22" s="842">
        <f t="shared" si="41"/>
      </c>
      <c r="FP22" s="255" t="e">
        <f>FD22</f>
        <v>#NUM!</v>
      </c>
      <c r="FQ22" s="917">
        <f ca="1">IF(AND(RIGHT(FK21,2)="31",COUNTA($FQ$11:FQ21)-COUNTIF($FQ$11:FQ21,"")=0),ADDRESS(31,COLUMN(INDIRECT(FK21))-1,4),"")</f>
      </c>
      <c r="FR22" s="917">
        <f>RIGHT(FQ22,2)</f>
      </c>
      <c r="FS22" s="917" t="e">
        <f>IF(FQ22&lt;&gt;"",FQ22,IF(FP22="","",IF(COUNTA($FQ$11:FQ21)-COUNTIF($FQ$11:FQ21,"")&lt;&gt;1,VLOOKUP(FP22,$FD$11:$FK$23,8,FALSE),VLOOKUP(FP22-1,$FE$11:$FK$23,7,FALSE))))</f>
        <v>#NUM!</v>
      </c>
      <c r="FT22" s="938" t="e">
        <f>IF(AND($FR$26&gt;MAX($FP$11:$FP$22),FP22=$FR$26-2,$FR$26-1=MAX($FP$11:$FP$22)),"",IF(AND(FS22&lt;&gt;"",ISNA(MATCH(FS22,$FT$11:FT21,0))=FALSE),FK22,FS22))</f>
        <v>#NUM!</v>
      </c>
      <c r="FU22" s="255"/>
      <c r="FV22" s="672"/>
      <c r="FW22" s="259">
        <f t="shared" si="79"/>
      </c>
      <c r="FX22" s="260">
        <f t="shared" si="80"/>
      </c>
      <c r="FY22" s="259"/>
      <c r="FZ22" s="260"/>
      <c r="GA22" s="345">
        <f>""</f>
      </c>
      <c r="GB22" s="345">
        <f>""</f>
      </c>
      <c r="GC22" s="345">
        <f>DY22</f>
      </c>
      <c r="GD22" s="345">
        <f>DZ22</f>
      </c>
      <c r="GE22" s="50">
        <f>IF(FW22="","",COUNT(GC22:GD22))</f>
      </c>
      <c r="GF22" s="69">
        <f t="shared" si="44"/>
      </c>
      <c r="GG22" s="70">
        <f t="shared" si="45"/>
      </c>
      <c r="GH22" s="39"/>
      <c r="GI22" s="303"/>
      <c r="GJ22" s="303"/>
      <c r="GK22" s="71">
        <f t="shared" si="46"/>
        <v>0</v>
      </c>
      <c r="GL22" s="71" t="str">
        <f t="shared" si="47"/>
        <v>0</v>
      </c>
      <c r="GM22" s="71"/>
      <c r="GN22" s="71">
        <f>IF(AND($GE$38-GO21&gt;34,GP21&lt;$GC$40),GO21,"")</f>
      </c>
      <c r="GO22" s="71">
        <v>12</v>
      </c>
      <c r="GP22" s="71">
        <f>IF(ISERROR(SMALL($FL$11:$FO$32,GO22))=TRUE,"",SMALL($FL$11:$FO$32,GO22))</f>
      </c>
      <c r="GQ22" s="61">
        <f ca="1">IF(OR($GP22="",ISERROR(MATCH($GP22,$FL$11:$FL$32,0))=TRUE),0,IF(OR(AND(COUNTIF($FL$11:$FL$32,$GP22)=1,ISNA(MATCH(MATCH($GP22,$FL$11:$FL$32,0)+10,GQ$11:GQ21,0)=TRUE)),AND(COUNTIF($FL$11:$FL$32,$GP22)&gt;=2,$GP21&lt;&gt;$GP22)),MATCH($GP22,$FL$11:$FL$32,0)+10,IF(AND(COUNTIF($FL$11:$FL$32,$GP22)&gt;=2,COUNTIF(INDIRECT("GQ$"&amp;MATCH($GP22,$GP$11:$GP22,0)+10):GQ21,"&gt;0")&lt;COUNTIF($FL$11:$FL$32,$GP22)),MATCH($GP22,INDIRECT("FL"&amp;GQ21+1):$FL$34,0)+GQ21,0)))</f>
        <v>0</v>
      </c>
      <c r="GR22" s="61">
        <f ca="1">IF(OR($GP22="",GQ22&lt;&gt;0,ISERROR(MATCH($GP22,$FM$11:$FM$32,0))=TRUE),0,IF(OR(AND(COUNTIF($FM$11:$FM$32,$GP22)=1,ISNA(MATCH(MATCH($GP22,$FM$11:$FM$32,0)+10,GR$11:GR21,0)=TRUE)),AND(COUNTIF($FM$11:$FM$32,$GP22)&gt;=2,$GP21&lt;&gt;$GP22)),MATCH($GP22,$FM$11:$FM$32,0)+10,IF(AND(COUNTIF($FM$11:$FM$32,$GP22)&gt;=2,COUNTIF(INDIRECT("GR$"&amp;MATCH($GP22,$GP$11:$GP22,0)+10):GR21,"&gt;0")&lt;COUNTIF($FM$11:$FM$32,$GP22)),MATCH($GP22,INDIRECT("FM"&amp;GR21+1):$FM$34,0)+GR21,0)))</f>
        <v>0</v>
      </c>
      <c r="GS22" s="61">
        <f ca="1">IF(OR($GP22="",GQ22&lt;&gt;0,GR22&lt;&gt;0,ISERROR(MATCH($GP22,$FN$11:$FN$32,0))=TRUE),0,IF(OR(AND(COUNTIF($FN$11:$FN$32,$GP22)=1,ISNA(MATCH(MATCH($GP22,$FN$11:$FN$32,0)+10,GS$11:GS21,0)=TRUE)),AND(COUNTIF($FN$11:$FN$32,$GP22)&gt;=2,$GP21&lt;&gt;$GP22)),MATCH($GP22,$FN$11:$FN$32,0)+10,IF(AND(COUNTIF($FN$11:$FN$32,$GP22)&gt;=2,COUNTIF(INDIRECT("GS$"&amp;MATCH($GP22,$GP$11:$GP22,0)+10):GS21,"&gt;0")&lt;COUNTIF($FN$11:$FN$32,$GP22)),MATCH($GP22,INDIRECT("FN"&amp;GS21+1):$GS$34,0)+GS21,0)))</f>
        <v>0</v>
      </c>
      <c r="GT22" s="61">
        <f ca="1">IF(OR($GP22="",GQ22&lt;&gt;0,GR22&lt;&gt;0,GS22&lt;&gt;0,ISERROR(MATCH($GP22,$FO$11:$FO$32,0))=TRUE),0,IF(OR(AND(COUNTIF($FO$11:$FO$32,$GP22)=1,ISNA(MATCH(MATCH($GP22,$FO$11:$FO$32,0)+10,GT$11:GT21,0)=TRUE)),AND(COUNTIF($FO$11:$FO$32,$GP22)&gt;=2,$GP21&lt;&gt;$GP22)),MATCH($GP22,$FO$11:$FO$32,0)+10,IF(AND(COUNTIF($FO$11:$FO$32,$GP22)&gt;=2,COUNTIF(INDIRECT("GT$"&amp;MATCH($GP22,$GP$11:$GP22,0)+10):GT21,"&gt;0")&lt;COUNTIF($FO$11:$FO$32,$GP22)),MATCH($GP22,INDIRECT("FO"&amp;GT21+1):$FO$34,0)+GT21,0)))</f>
        <v>0</v>
      </c>
      <c r="GU22" s="61">
        <f>IF(GQ22&lt;&gt;0,$GQ$10&amp;GQ22,IF(GR22&lt;&gt;0,$GR$10&amp;GR22,IF(GS22&lt;&gt;0,$GS$10&amp;GS22,IF(GT22&lt;&gt;0,$GT$10&amp;GT22,""))))</f>
      </c>
      <c r="GV22" s="1065">
        <f t="shared" si="51"/>
      </c>
      <c r="GW22" s="1065">
        <f t="shared" si="52"/>
      </c>
      <c r="GX22" s="1065">
        <f t="shared" si="53"/>
      </c>
      <c r="GY22" s="1065">
        <f t="shared" si="54"/>
      </c>
      <c r="GZ22" s="393"/>
      <c r="HA22" s="324"/>
      <c r="HB22" s="672"/>
      <c r="HC22" s="259">
        <f t="shared" si="86"/>
      </c>
      <c r="HD22" s="260">
        <f t="shared" si="87"/>
      </c>
      <c r="HE22" s="259"/>
      <c r="HF22" s="260"/>
      <c r="HG22" s="345">
        <f>""</f>
      </c>
      <c r="HH22" s="345">
        <f>""</f>
      </c>
      <c r="HI22" s="345">
        <f>GC22</f>
      </c>
      <c r="HJ22" s="345">
        <f>GD22</f>
      </c>
      <c r="HK22" s="50">
        <f>IF(HC22="","",COUNT(HI22:HJ22))</f>
      </c>
      <c r="HL22" s="69">
        <f>IF(OR(HD22=1,HD22=2,HC22=""),"",SUM(HG22:HJ22))</f>
      </c>
      <c r="HM22" s="70">
        <f>IF(OR(HD22=1,HD22=2),2*SUM(HG22:HJ22),"")</f>
      </c>
      <c r="HN22" s="39"/>
      <c r="HO22" s="303"/>
      <c r="HP22" s="303"/>
      <c r="HQ22" s="71">
        <f t="shared" si="58"/>
        <v>0</v>
      </c>
      <c r="HR22" s="71" t="str">
        <f t="shared" si="59"/>
        <v>0</v>
      </c>
    </row>
    <row r="23" spans="1:226" ht="15" customHeight="1">
      <c r="A23" s="847" t="s">
        <v>422</v>
      </c>
      <c r="B23" s="855"/>
      <c r="C23" s="854"/>
      <c r="D23" s="815" t="str">
        <f>IF(Zulassung!D22="","",Zulassung!D22)</f>
        <v> SW-Z</v>
      </c>
      <c r="E23" s="816">
        <f>IF(Zulassung!E22="","",Zulassung!E22)</f>
      </c>
      <c r="F23" s="517"/>
      <c r="G23" s="518"/>
      <c r="H23" s="553">
        <f>IF(Zulassung!H22="","",Zulassung!H22)</f>
      </c>
      <c r="I23" s="554">
        <f>IF(Zulassung!I22="","",Zulassung!I22)</f>
      </c>
      <c r="J23" s="554">
        <f>IF(Zulassung!J22="","",Zulassung!J22)</f>
      </c>
      <c r="K23" s="555">
        <f>IF(Zulassung!K22="","",Zulassung!K22)</f>
      </c>
      <c r="L23" s="385">
        <f t="shared" si="0"/>
        <v>0</v>
      </c>
      <c r="O23" s="681"/>
      <c r="P23" s="255"/>
      <c r="Q23" s="1394"/>
      <c r="R23" s="1394"/>
      <c r="S23" s="303"/>
      <c r="T23" s="842">
        <f t="shared" si="60"/>
        <v>0</v>
      </c>
      <c r="U23" s="842" t="str">
        <f t="shared" si="2"/>
        <v>0</v>
      </c>
      <c r="V23" s="842">
        <f t="shared" si="3"/>
        <v>0</v>
      </c>
      <c r="W23" s="842">
        <f t="shared" si="4"/>
        <v>0</v>
      </c>
      <c r="Z23" s="842" t="str">
        <f t="shared" si="61"/>
        <v> SW-Z</v>
      </c>
      <c r="AA23" s="842"/>
      <c r="AB23" s="842">
        <f t="shared" si="94"/>
        <v>0</v>
      </c>
      <c r="AC23" s="842">
        <f>IF(ISNA(MATCH("SW",Z18:Z20,0))=TRUE,2,IF(VLOOKUP("SW",D18:L20,9,FALSE)&lt;2,2,0))</f>
        <v>2</v>
      </c>
      <c r="AD23" s="842" t="str">
        <f>IF(D23="","",IF(AB23&gt;=AC23,"W","F"))</f>
        <v>F</v>
      </c>
      <c r="AE23" s="276"/>
      <c r="AF23" s="276"/>
      <c r="AG23" s="276"/>
      <c r="AH23" s="276"/>
      <c r="AI23" s="276"/>
      <c r="AJ23" s="289"/>
      <c r="AK23" s="277"/>
      <c r="AL23" s="277"/>
      <c r="AM23" s="322"/>
      <c r="AN23" s="322"/>
      <c r="AO23" s="1533" t="s">
        <v>287</v>
      </c>
      <c r="AP23" s="1533"/>
      <c r="AQ23" s="1533"/>
      <c r="AR23" s="1533"/>
      <c r="AS23" s="1533"/>
      <c r="AT23" s="844" t="s">
        <v>289</v>
      </c>
      <c r="AU23" s="844"/>
      <c r="AV23" s="844"/>
      <c r="AW23" s="844"/>
      <c r="AX23" s="844"/>
      <c r="AY23" s="1533" t="s">
        <v>291</v>
      </c>
      <c r="AZ23" s="1533"/>
      <c r="BA23" s="1533"/>
      <c r="BB23" s="1533"/>
      <c r="BC23" s="1533"/>
      <c r="BD23" s="277"/>
      <c r="BE23" s="277"/>
      <c r="BF23" s="277"/>
      <c r="BG23" s="277"/>
      <c r="BH23" s="1242" t="s">
        <v>533</v>
      </c>
      <c r="BI23" s="276">
        <f>J23</f>
      </c>
      <c r="BJ23" s="276">
        <f>K23</f>
      </c>
      <c r="BK23" s="275">
        <f>MAX(BL18:BL21)</f>
        <v>0</v>
      </c>
      <c r="BL23" s="273"/>
      <c r="BM23" s="328"/>
      <c r="BN23" s="328"/>
      <c r="BO23" s="842">
        <f>IF(OR($Z23="",BI23=SMALL(BI23:BK23,1)),"",J23)</f>
      </c>
      <c r="BP23" s="842">
        <f>IF(OR($Z23="",BJ23=SMALL(BI23:BK23,1)),"",K23)</f>
      </c>
      <c r="BQ23" s="274">
        <f>IF(B23&lt;&gt;"",SUM(H23:K23),0)</f>
        <v>0</v>
      </c>
      <c r="BR23" s="567">
        <f t="shared" si="5"/>
        <v>0</v>
      </c>
      <c r="BS23" s="567">
        <f t="shared" si="6"/>
        <v>0</v>
      </c>
      <c r="BT23" s="328"/>
      <c r="BU23" s="328"/>
      <c r="BV23" s="842">
        <f>IF(AND(BO23="",BI23&lt;&gt;""),BI23,"")</f>
      </c>
      <c r="BW23" s="842">
        <f>IF(AND(BP23="",BJ23&lt;&gt;""),BJ23,"")</f>
      </c>
      <c r="BX23" s="321"/>
      <c r="BY23" s="1072">
        <f t="shared" si="97"/>
      </c>
      <c r="BZ23" s="393"/>
      <c r="CA23" s="842">
        <f t="shared" si="9"/>
      </c>
      <c r="CB23" s="842">
        <f t="shared" si="10"/>
      </c>
      <c r="CC23" s="842">
        <f t="shared" si="11"/>
      </c>
      <c r="CD23" s="842">
        <f t="shared" si="12"/>
      </c>
      <c r="CE23" s="919"/>
      <c r="CF23" s="1033">
        <f t="shared" si="13"/>
      </c>
      <c r="CG23" s="1033">
        <f t="shared" si="14"/>
      </c>
      <c r="CH23" s="1033">
        <f t="shared" si="15"/>
      </c>
      <c r="CI23" s="1033">
        <f t="shared" si="16"/>
      </c>
      <c r="CJ23" s="393"/>
      <c r="CK23" s="919"/>
      <c r="CL23" s="393"/>
      <c r="CM23" s="684"/>
      <c r="CN23" s="672"/>
      <c r="CO23" s="261" t="str">
        <f t="shared" si="17"/>
        <v> SW-Z</v>
      </c>
      <c r="CP23" s="262">
        <f t="shared" si="18"/>
      </c>
      <c r="CQ23" s="261"/>
      <c r="CR23" s="262"/>
      <c r="CS23" s="346">
        <f>""</f>
      </c>
      <c r="CT23" s="347">
        <f>""</f>
      </c>
      <c r="CU23" s="347">
        <f>IF(OR($Z23="",J23=""),"",IF(BO23&lt;&gt;"",BO23,IF(CH23&lt;&gt;"",CH23,"("&amp;J23&amp;")")))</f>
      </c>
      <c r="CV23" s="347">
        <f>IF(OR($Z23="",K23=""),"",IF(BP23&lt;&gt;"",BP23,IF(CI23&lt;&gt;"",CI23,"("&amp;K23&amp;")")))</f>
      </c>
      <c r="CW23" s="861">
        <f>IF(CO23="","",COUNT(CU23:CV23))</f>
        <v>0</v>
      </c>
      <c r="CX23" s="420">
        <f t="shared" si="20"/>
        <v>0</v>
      </c>
      <c r="CY23" s="494">
        <f t="shared" si="21"/>
      </c>
      <c r="CZ23" s="39"/>
      <c r="DA23" s="303"/>
      <c r="DB23" s="303"/>
      <c r="DC23" s="303"/>
      <c r="DD23" s="33"/>
      <c r="DE23" s="71">
        <f t="shared" si="22"/>
        <v>0</v>
      </c>
      <c r="DF23" s="71" t="str">
        <f t="shared" si="23"/>
        <v>0</v>
      </c>
      <c r="DG23" s="393"/>
      <c r="DH23" s="393"/>
      <c r="DI23" s="919"/>
      <c r="DJ23" s="393"/>
      <c r="DK23" s="329"/>
      <c r="DL23" s="329"/>
      <c r="DM23" s="329"/>
      <c r="DN23" s="329"/>
      <c r="DO23" s="919"/>
      <c r="DP23" s="393"/>
      <c r="DQ23" s="684"/>
      <c r="DR23" s="672"/>
      <c r="DS23" s="261" t="str">
        <f t="shared" si="25"/>
        <v> SW-Z</v>
      </c>
      <c r="DT23" s="262">
        <f t="shared" si="26"/>
      </c>
      <c r="DU23" s="261"/>
      <c r="DV23" s="262"/>
      <c r="DW23" s="346">
        <f t="shared" si="98"/>
      </c>
      <c r="DX23" s="347">
        <f t="shared" si="98"/>
      </c>
      <c r="DY23" s="347">
        <f t="shared" si="98"/>
      </c>
      <c r="DZ23" s="347">
        <f t="shared" si="98"/>
      </c>
      <c r="EA23" s="861">
        <f>IF(DS23="","",COUNT(DY23:DZ23))</f>
        <v>0</v>
      </c>
      <c r="EB23" s="420">
        <f t="shared" si="28"/>
        <v>0</v>
      </c>
      <c r="EC23" s="494">
        <f t="shared" si="29"/>
      </c>
      <c r="ED23" s="39"/>
      <c r="EE23" s="303"/>
      <c r="EF23" s="303"/>
      <c r="EG23" s="71">
        <f t="shared" si="30"/>
        <v>0</v>
      </c>
      <c r="EH23" s="71" t="str">
        <f t="shared" si="31"/>
        <v>0</v>
      </c>
      <c r="EI23" s="393"/>
      <c r="EJ23" s="393"/>
      <c r="EK23" s="393"/>
      <c r="EL23" s="393"/>
      <c r="EM23" s="393"/>
      <c r="EN23" s="568"/>
      <c r="EO23" s="930"/>
      <c r="EP23" s="255"/>
      <c r="EQ23" s="572">
        <f t="shared" si="99"/>
      </c>
      <c r="ER23" s="575">
        <f t="shared" si="99"/>
      </c>
      <c r="ES23" s="391">
        <f t="shared" si="34"/>
        <v>0</v>
      </c>
      <c r="ET23" s="391"/>
      <c r="EU23" s="672"/>
      <c r="EV23" s="672"/>
      <c r="EW23" s="685"/>
      <c r="EX23" s="685"/>
      <c r="EY23" s="685"/>
      <c r="EZ23" s="579"/>
      <c r="FA23" s="962">
        <f t="shared" si="1"/>
        <v>0</v>
      </c>
      <c r="FB23" s="962">
        <f t="shared" si="36"/>
        <v>0</v>
      </c>
      <c r="FC23" s="684"/>
      <c r="FL23" s="842">
        <f t="shared" si="38"/>
      </c>
      <c r="FM23" s="842">
        <f t="shared" si="39"/>
      </c>
      <c r="FN23" s="842">
        <f t="shared" si="40"/>
      </c>
      <c r="FO23" s="842">
        <f t="shared" si="41"/>
      </c>
      <c r="FU23" s="255"/>
      <c r="FV23" s="672"/>
      <c r="FW23" s="261" t="str">
        <f t="shared" si="79"/>
        <v> SW-Z</v>
      </c>
      <c r="FX23" s="262">
        <f t="shared" si="80"/>
      </c>
      <c r="FY23" s="261"/>
      <c r="FZ23" s="262"/>
      <c r="GA23" s="346">
        <f>""</f>
      </c>
      <c r="GB23" s="347">
        <f>""</f>
      </c>
      <c r="GC23" s="347">
        <f>DY23</f>
      </c>
      <c r="GD23" s="347">
        <f>DZ23</f>
      </c>
      <c r="GE23" s="861">
        <f>IF(FW23="","",COUNT(GC23:GD23))</f>
        <v>0</v>
      </c>
      <c r="GF23" s="420">
        <f t="shared" si="44"/>
        <v>0</v>
      </c>
      <c r="GG23" s="494">
        <f t="shared" si="45"/>
      </c>
      <c r="GH23" s="39"/>
      <c r="GI23" s="303"/>
      <c r="GJ23" s="303"/>
      <c r="GK23" s="71">
        <f t="shared" si="46"/>
        <v>0</v>
      </c>
      <c r="GL23" s="71" t="str">
        <f t="shared" si="47"/>
        <v>0</v>
      </c>
      <c r="GM23" s="71"/>
      <c r="GN23" s="71">
        <f>IF(AND($GE$38-GO22&gt;34,GP22&lt;$GC$40),GO22,"")</f>
      </c>
      <c r="GU23" s="61">
        <f>IF(GQ22&lt;&gt;0,$GQ$10&amp;GQ22,IF(GR22&lt;&gt;0,$GR$10&amp;GR22,IF(GS22&lt;&gt;0,$GS$10&amp;GS22,IF(GT22&lt;&gt;0,$GT$10&amp;GT22,""))))</f>
      </c>
      <c r="GV23" s="1065">
        <f t="shared" si="51"/>
      </c>
      <c r="GW23" s="1065">
        <f t="shared" si="52"/>
      </c>
      <c r="GX23" s="1065">
        <f t="shared" si="53"/>
      </c>
      <c r="GY23" s="1065">
        <f t="shared" si="54"/>
      </c>
      <c r="GZ23" s="393"/>
      <c r="HA23" s="324"/>
      <c r="HB23" s="672"/>
      <c r="HC23" s="261" t="str">
        <f t="shared" si="86"/>
        <v> SW-Z</v>
      </c>
      <c r="HD23" s="262">
        <f t="shared" si="87"/>
      </c>
      <c r="HE23" s="261"/>
      <c r="HF23" s="262"/>
      <c r="HG23" s="346">
        <f>""</f>
      </c>
      <c r="HH23" s="347">
        <f>""</f>
      </c>
      <c r="HI23" s="347">
        <f>GC23</f>
      </c>
      <c r="HJ23" s="347">
        <f>GD23</f>
      </c>
      <c r="HK23" s="861">
        <f>IF(HC23="","",COUNT(HI23:HJ23))</f>
        <v>0</v>
      </c>
      <c r="HL23" s="420">
        <f t="shared" si="56"/>
        <v>0</v>
      </c>
      <c r="HM23" s="494">
        <f t="shared" si="57"/>
      </c>
      <c r="HN23" s="39"/>
      <c r="HO23" s="303"/>
      <c r="HP23" s="303"/>
      <c r="HQ23" s="71">
        <f t="shared" si="58"/>
        <v>0</v>
      </c>
      <c r="HR23" s="71" t="str">
        <f t="shared" si="59"/>
        <v>0</v>
      </c>
    </row>
    <row r="24" spans="1:226" ht="15" customHeight="1">
      <c r="A24" s="416" t="s">
        <v>433</v>
      </c>
      <c r="B24" s="416" t="s">
        <v>434</v>
      </c>
      <c r="C24" s="856" t="s">
        <v>435</v>
      </c>
      <c r="D24" s="337" t="str">
        <f>IF(Zulassung!D23="","",Zulassung!D23)</f>
        <v>M</v>
      </c>
      <c r="E24" s="514">
        <f>IF(Zulassung!E23="","",Zulassung!E23)</f>
      </c>
      <c r="F24" s="515">
        <f>IF(Zulassung!F23="","",Zulassung!F23)</f>
        <v>3</v>
      </c>
      <c r="G24" s="516">
        <f>IF(Zulassung!G23="","",Zulassung!G23)</f>
        <v>3</v>
      </c>
      <c r="H24" s="827">
        <f>IF(Zulassung!H23="","",Zulassung!H23)</f>
      </c>
      <c r="I24" s="556">
        <f>IF(Zulassung!I23="","",Zulassung!I23)</f>
      </c>
      <c r="J24" s="556">
        <f>IF(Zulassung!J23="","",Zulassung!J23)</f>
      </c>
      <c r="K24" s="557">
        <f>IF(Zulassung!K23="","",Zulassung!K23)</f>
      </c>
      <c r="L24" s="371">
        <f t="shared" si="0"/>
        <v>0</v>
      </c>
      <c r="O24" s="681"/>
      <c r="P24" s="255"/>
      <c r="Q24" s="1351"/>
      <c r="R24" s="1351"/>
      <c r="S24" s="304"/>
      <c r="T24" s="842">
        <f t="shared" si="60"/>
        <v>0</v>
      </c>
      <c r="U24" s="842" t="str">
        <f t="shared" si="2"/>
        <v>0</v>
      </c>
      <c r="V24" s="842">
        <f t="shared" si="3"/>
        <v>0</v>
      </c>
      <c r="W24" s="842">
        <f t="shared" si="4"/>
        <v>0</v>
      </c>
      <c r="Z24" s="842" t="str">
        <f t="shared" si="61"/>
        <v>M</v>
      </c>
      <c r="AA24" s="842">
        <f>IF(OR(AND(G24="",MAX(H24:K24)&gt;0),AND(H24="",MAX(I24:K24)&gt;0),AND(I24="",MAX(J24:K24)&gt;0),AND(J24="",K24&lt;&gt;"")),1,0)</f>
        <v>0</v>
      </c>
      <c r="AB24" s="842">
        <f t="shared" si="94"/>
        <v>0</v>
      </c>
      <c r="AC24" s="842">
        <v>4</v>
      </c>
      <c r="AD24" s="842" t="str">
        <f>IF(D24="","",IF(AB24&gt;=AC24,"W","F"))</f>
        <v>F</v>
      </c>
      <c r="AE24" s="276"/>
      <c r="AF24" s="276"/>
      <c r="AG24" s="276"/>
      <c r="AH24" s="278"/>
      <c r="AI24" s="276"/>
      <c r="AJ24" s="289">
        <f aca="true" t="shared" si="100" ref="AJ24:AJ31">IF(E24="","",Z24)</f>
      </c>
      <c r="AK24" s="277"/>
      <c r="AL24" s="277"/>
      <c r="AM24" s="842" t="s">
        <v>285</v>
      </c>
      <c r="AN24" s="255"/>
      <c r="AO24" s="843" t="str">
        <f>IF(ISNA(MATCH($Z25,$AJ$25:$AJ$28,0))=FALSE,"",$Z25)</f>
        <v>BI</v>
      </c>
      <c r="AP24" s="843">
        <f>IF(OR(ISNA(MATCH($Z26,$AJ$25:$AJ$28,0))=FALSE,VLOOKUP($Z26,$D$25:$L$28,9,FALSE)&lt;&gt;4),"",$Z26)</f>
      </c>
      <c r="AQ24" s="843">
        <f>IF(OR(ISNA(MATCH($Z27,$AJ$25:$AJ$28,0))=FALSE,VLOOKUP($Z27,$D$25:$L$28,9,FALSE)&lt;&gt;4),"",$Z27)</f>
      </c>
      <c r="AR24" s="843">
        <f>IF(OR(ISNA(MATCH($Z28,$AJ$25:$AJ$28,0))=FALSE,VLOOKUP($Z28,$D$25:$L$28,9,FALSE)&lt;&gt;4),"",$Z28)</f>
      </c>
      <c r="AS24" s="974" t="str">
        <f>Z11</f>
        <v>E</v>
      </c>
      <c r="AT24" s="845" t="str">
        <f>IF(ISNA(MATCH($Z25,$AJ$25:$AJ$28,0))=FALSE,"",$Z25)</f>
        <v>BI</v>
      </c>
      <c r="AU24" s="845">
        <f>IF(OR(ISNA(MATCH($Z26,$AJ$25:$AJ$28,0))=FALSE,VLOOKUP(Z26,$D$25:$L$28,9,FALSE)&lt;&gt;4),"",$Z26)</f>
      </c>
      <c r="AV24" s="845">
        <f>IF(OR(ISNA(MATCH($Z27,$AJ$25:$AJ$28,0))=FALSE,VLOOKUP($Z27,$D$25:$L$28,9,FALSE)&lt;&gt;4),"",$Z27)</f>
      </c>
      <c r="AW24" s="845">
        <f>IF(OR(ISNA(MATCH($Z28,$AJ$25:$AJ$28,0))=FALSE,VLOOKUP($Z28,$D$25:$L$28,9,FALSE)&lt;&gt;4),"",$Z28)</f>
      </c>
      <c r="AX24" s="974" t="str">
        <f>Z12</f>
        <v>S0</v>
      </c>
      <c r="AY24" s="843" t="str">
        <f>IF(ISNA(MATCH($Z25,$AJ$25:$AJ$28,0))=FALSE,"",$Z25)</f>
        <v>BI</v>
      </c>
      <c r="AZ24" s="843">
        <f>IF(OR(ISNA(MATCH($Z26,$AJ$25:$AJ$28,0))=FALSE,VLOOKUP(Z26,$D$25:$L$28,9,FALSE)&lt;&gt;4),"",$Z26)</f>
      </c>
      <c r="BA24" s="843">
        <f>IF(OR(ISNA(MATCH($Z27,$AJ$25:$AJ$28,0))=FALSE,VLOOKUP($Z27,$D$25:$L$28,9,FALSE)&lt;&gt;4),"",$Z27)</f>
      </c>
      <c r="BB24" s="843">
        <f>IF(OR(ISNA(MATCH($Z28,$AJ$25:$AJ$28,0))=FALSE,VLOOKUP($Z28,$D$25:$L$28,9,FALSE)&lt;&gt;4),"",$Z28)</f>
      </c>
      <c r="BC24" s="974">
        <f>Z13</f>
      </c>
      <c r="BD24" s="277"/>
      <c r="BE24" s="277"/>
      <c r="BF24" s="277"/>
      <c r="BG24" s="277" t="s">
        <v>474</v>
      </c>
      <c r="BH24" s="277"/>
      <c r="BI24" s="331"/>
      <c r="BJ24" s="331"/>
      <c r="BK24" s="275"/>
      <c r="BL24" s="275"/>
      <c r="BM24" s="274">
        <f>H24</f>
      </c>
      <c r="BN24" s="274">
        <f>I24</f>
      </c>
      <c r="BO24" s="274">
        <f>J24</f>
      </c>
      <c r="BP24" s="274">
        <f>K24</f>
      </c>
      <c r="BQ24" s="274">
        <f>IF(OR(E24=1,E24=2),SUM(H24:K24),0)</f>
        <v>0</v>
      </c>
      <c r="BR24" s="567">
        <f t="shared" si="5"/>
        <v>0</v>
      </c>
      <c r="BS24" s="567">
        <f t="shared" si="6"/>
        <v>0</v>
      </c>
      <c r="BT24" s="274"/>
      <c r="BU24" s="274"/>
      <c r="BV24" s="274"/>
      <c r="BW24" s="274"/>
      <c r="BX24" s="321"/>
      <c r="BY24" s="1072">
        <f t="shared" si="97"/>
      </c>
      <c r="BZ24" s="393"/>
      <c r="CA24" s="842">
        <f t="shared" si="9"/>
      </c>
      <c r="CB24" s="842">
        <f t="shared" si="10"/>
      </c>
      <c r="CC24" s="842">
        <f t="shared" si="11"/>
      </c>
      <c r="CD24" s="842">
        <f t="shared" si="12"/>
      </c>
      <c r="CE24" s="919"/>
      <c r="CF24" s="1033">
        <f t="shared" si="13"/>
      </c>
      <c r="CG24" s="1033">
        <f t="shared" si="14"/>
      </c>
      <c r="CH24" s="1033">
        <f t="shared" si="15"/>
      </c>
      <c r="CI24" s="1033">
        <f t="shared" si="16"/>
      </c>
      <c r="CJ24" s="393"/>
      <c r="CK24" s="919"/>
      <c r="CL24" s="393"/>
      <c r="CM24" s="684"/>
      <c r="CN24" s="672"/>
      <c r="CO24" s="259" t="str">
        <f t="shared" si="17"/>
        <v>M</v>
      </c>
      <c r="CP24" s="260">
        <f t="shared" si="18"/>
      </c>
      <c r="CQ24" s="259"/>
      <c r="CR24" s="260"/>
      <c r="CS24" s="345">
        <f>IF(BM24="","",BM24)</f>
      </c>
      <c r="CT24" s="345">
        <f>IF(BN24="","",BN24)</f>
      </c>
      <c r="CU24" s="345">
        <f>IF(BO24="","",BO24)</f>
      </c>
      <c r="CV24" s="345">
        <f>IF(BP24="","",BP24)</f>
      </c>
      <c r="CW24" s="257">
        <f aca="true" t="shared" si="101" ref="CW24:CW31">IF(CO24="","",COUNTA(CS24:CV24)-COUNTIF(CS24:CV24,""))</f>
        <v>0</v>
      </c>
      <c r="CX24" s="69">
        <f t="shared" si="20"/>
        <v>0</v>
      </c>
      <c r="CY24" s="70">
        <f t="shared" si="21"/>
      </c>
      <c r="CZ24" s="39"/>
      <c r="DA24" s="304"/>
      <c r="DB24" s="304"/>
      <c r="DC24" s="304"/>
      <c r="DD24" s="33"/>
      <c r="DE24" s="71">
        <f t="shared" si="22"/>
        <v>0</v>
      </c>
      <c r="DF24" s="71" t="str">
        <f t="shared" si="23"/>
        <v>0</v>
      </c>
      <c r="DG24" s="393"/>
      <c r="DH24" s="393"/>
      <c r="DI24" s="919"/>
      <c r="DJ24" s="393"/>
      <c r="DK24" s="643"/>
      <c r="DL24" s="643"/>
      <c r="DM24" s="643"/>
      <c r="DN24" s="643"/>
      <c r="DO24" s="919"/>
      <c r="DP24" s="393"/>
      <c r="DQ24" s="684"/>
      <c r="DR24" s="672"/>
      <c r="DS24" s="259" t="str">
        <f t="shared" si="25"/>
        <v>M</v>
      </c>
      <c r="DT24" s="260">
        <f t="shared" si="26"/>
      </c>
      <c r="DU24" s="259"/>
      <c r="DV24" s="260"/>
      <c r="DW24" s="345">
        <f t="shared" si="98"/>
      </c>
      <c r="DX24" s="345">
        <f t="shared" si="98"/>
      </c>
      <c r="DY24" s="345">
        <f t="shared" si="98"/>
      </c>
      <c r="DZ24" s="345">
        <f t="shared" si="98"/>
      </c>
      <c r="EA24" s="257">
        <f aca="true" t="shared" si="102" ref="EA24:EA31">IF(DS24="","",COUNTA(DW24:DZ24)-COUNTIF(DW24:DZ24,""))</f>
        <v>0</v>
      </c>
      <c r="EB24" s="69">
        <f t="shared" si="28"/>
        <v>0</v>
      </c>
      <c r="EC24" s="70">
        <f t="shared" si="29"/>
      </c>
      <c r="ED24" s="39"/>
      <c r="EE24" s="304"/>
      <c r="EF24" s="304"/>
      <c r="EG24" s="71">
        <f t="shared" si="30"/>
        <v>0</v>
      </c>
      <c r="EH24" s="71" t="str">
        <f t="shared" si="31"/>
        <v>0</v>
      </c>
      <c r="EI24" s="393"/>
      <c r="EJ24" s="393"/>
      <c r="EK24" s="393"/>
      <c r="EL24" s="393"/>
      <c r="EM24" s="393"/>
      <c r="EN24" s="568" t="s">
        <v>53</v>
      </c>
      <c r="EO24" s="581">
        <f>BM24</f>
      </c>
      <c r="EP24" s="582">
        <f>BN24</f>
      </c>
      <c r="EQ24" s="582">
        <f t="shared" si="99"/>
      </c>
      <c r="ER24" s="583">
        <f t="shared" si="99"/>
      </c>
      <c r="ES24" s="391">
        <f t="shared" si="34"/>
        <v>0</v>
      </c>
      <c r="ET24" s="391"/>
      <c r="EU24" s="672"/>
      <c r="EV24" s="672"/>
      <c r="EW24" s="685"/>
      <c r="EX24" s="685"/>
      <c r="EY24" s="685"/>
      <c r="EZ24" s="579"/>
      <c r="FA24" s="962">
        <f t="shared" si="1"/>
        <v>0</v>
      </c>
      <c r="FB24" s="962">
        <f t="shared" si="36"/>
        <v>0</v>
      </c>
      <c r="FC24" s="961"/>
      <c r="FL24" s="842">
        <f t="shared" si="38"/>
      </c>
      <c r="FM24" s="842">
        <f t="shared" si="39"/>
      </c>
      <c r="FN24" s="842">
        <f t="shared" si="40"/>
      </c>
      <c r="FO24" s="842">
        <f t="shared" si="41"/>
      </c>
      <c r="FP24" s="255"/>
      <c r="FQ24" s="684"/>
      <c r="FR24" s="684"/>
      <c r="FS24" s="684"/>
      <c r="FT24" s="684"/>
      <c r="FU24" s="684"/>
      <c r="FV24" s="672"/>
      <c r="FW24" s="259" t="str">
        <f t="shared" si="79"/>
        <v>M</v>
      </c>
      <c r="FX24" s="260">
        <f t="shared" si="80"/>
      </c>
      <c r="FY24" s="259"/>
      <c r="FZ24" s="260"/>
      <c r="GA24" s="345">
        <f>H24</f>
      </c>
      <c r="GB24" s="345">
        <f>I24</f>
      </c>
      <c r="GC24" s="345">
        <f>J24</f>
      </c>
      <c r="GD24" s="345">
        <f>K24</f>
      </c>
      <c r="GE24" s="257">
        <f aca="true" t="shared" si="103" ref="GE24:GE31">IF(FW24="","",COUNTA(GA24:GD24)-COUNTIF(GA24:GD24,""))</f>
        <v>0</v>
      </c>
      <c r="GF24" s="69">
        <f t="shared" si="44"/>
        <v>0</v>
      </c>
      <c r="GG24" s="70">
        <f t="shared" si="45"/>
      </c>
      <c r="GH24" s="39"/>
      <c r="GI24" s="304"/>
      <c r="GJ24" s="304"/>
      <c r="GK24" s="71">
        <f t="shared" si="46"/>
        <v>0</v>
      </c>
      <c r="GL24" s="71" t="str">
        <f t="shared" si="47"/>
        <v>0</v>
      </c>
      <c r="GM24" s="71"/>
      <c r="GN24" s="71"/>
      <c r="GO24" s="71"/>
      <c r="GP24" s="71"/>
      <c r="GQ24" s="71"/>
      <c r="GR24" s="71"/>
      <c r="GS24" s="71"/>
      <c r="GT24" s="324"/>
      <c r="GU24" s="324"/>
      <c r="GV24" s="1065">
        <f t="shared" si="51"/>
      </c>
      <c r="GW24" s="1065">
        <f t="shared" si="52"/>
      </c>
      <c r="GX24" s="1065">
        <f t="shared" si="53"/>
      </c>
      <c r="GY24" s="1065">
        <f t="shared" si="54"/>
      </c>
      <c r="GZ24" s="593"/>
      <c r="HA24" s="324"/>
      <c r="HB24" s="672"/>
      <c r="HC24" s="259" t="str">
        <f t="shared" si="86"/>
        <v>M</v>
      </c>
      <c r="HD24" s="260">
        <f t="shared" si="87"/>
      </c>
      <c r="HE24" s="259"/>
      <c r="HF24" s="260"/>
      <c r="HG24" s="345">
        <f>$H24</f>
      </c>
      <c r="HH24" s="345">
        <f>$I$24</f>
      </c>
      <c r="HI24" s="345">
        <f>$J$24</f>
      </c>
      <c r="HJ24" s="345">
        <f>$K$24</f>
      </c>
      <c r="HK24" s="257">
        <f aca="true" t="shared" si="104" ref="HK24:HK31">IF(HC24="","",COUNTA(HG24:HJ24)-COUNTIF(HG24:HJ24,""))</f>
        <v>0</v>
      </c>
      <c r="HL24" s="69">
        <f t="shared" si="56"/>
        <v>0</v>
      </c>
      <c r="HM24" s="70">
        <f t="shared" si="57"/>
      </c>
      <c r="HN24" s="39"/>
      <c r="HO24" s="304"/>
      <c r="HP24" s="304"/>
      <c r="HQ24" s="71">
        <f t="shared" si="58"/>
        <v>0</v>
      </c>
      <c r="HR24" s="71" t="str">
        <f t="shared" si="59"/>
        <v>0</v>
      </c>
    </row>
    <row r="25" spans="1:226" ht="15" customHeight="1">
      <c r="A25" s="418">
        <f>IF(BD25="","",25)</f>
      </c>
      <c r="B25" s="886">
        <f>IF(OR(COUNTA($BE$25:$BE$28)=0,$BE$25&amp;$BE$26&amp;$BE$27&amp;$BE$28&lt;&gt;$D25),"",25)</f>
      </c>
      <c r="C25" s="855">
        <f>IF(AND(A25="",B25="",COUNTIF($D$25:$D$27,"")=0,COUNT(H25:K25)=4),25,"")</f>
      </c>
      <c r="D25" s="337" t="str">
        <f>IF(Zulassung!D24="","",Zulassung!D24)</f>
        <v>BI</v>
      </c>
      <c r="E25" s="514">
        <f>IF(Zulassung!E24="","",Zulassung!E24)</f>
      </c>
      <c r="F25" s="515">
        <f>IF(Zulassung!F24="","",Zulassung!F24)</f>
        <v>3</v>
      </c>
      <c r="G25" s="516">
        <f>IF(Zulassung!G24="","",Zulassung!G24)</f>
        <v>3</v>
      </c>
      <c r="H25" s="550">
        <f>IF(Zulassung!H24="","",Zulassung!H24)</f>
      </c>
      <c r="I25" s="551">
        <f>IF(Zulassung!I24="","",Zulassung!I24)</f>
      </c>
      <c r="J25" s="551">
        <f>IF(Zulassung!J24="","",Zulassung!J24)</f>
      </c>
      <c r="K25" s="552">
        <f>IF(Zulassung!K24="","",Zulassung!K24)</f>
      </c>
      <c r="L25" s="370">
        <f t="shared" si="0"/>
        <v>0</v>
      </c>
      <c r="O25" s="681"/>
      <c r="P25" s="255"/>
      <c r="Q25" s="1367">
        <f>IF(Zulassung!O24="","",Zulassung!O24)</f>
      </c>
      <c r="R25" s="1367"/>
      <c r="S25" s="304"/>
      <c r="T25" s="842">
        <f t="shared" si="60"/>
        <v>0</v>
      </c>
      <c r="U25" s="842" t="str">
        <f t="shared" si="2"/>
        <v>0</v>
      </c>
      <c r="V25" s="842">
        <f t="shared" si="3"/>
        <v>0</v>
      </c>
      <c r="W25" s="842">
        <f t="shared" si="4"/>
        <v>0</v>
      </c>
      <c r="Z25" s="842" t="str">
        <f t="shared" si="61"/>
        <v>BI</v>
      </c>
      <c r="AA25" s="842">
        <f>IF(OR(AND(G25="",MAX(H25:K25)&gt;0),AND(H25="",MAX(I25:K25)&gt;0),AND(I25="",MAX(J25:K25)&gt;0),AND(J25="",K25&lt;&gt;"")),1,0)</f>
        <v>0</v>
      </c>
      <c r="AB25" s="842">
        <f t="shared" si="94"/>
        <v>0</v>
      </c>
      <c r="AC25" s="842">
        <v>4</v>
      </c>
      <c r="AD25" s="842" t="str">
        <f>IF(D25="","",IF(OR($AB$25=4,$AB$26=4,$AB$27=4),"W","F"))</f>
        <v>F</v>
      </c>
      <c r="AE25" s="842">
        <f>SUM(H25:K25)</f>
        <v>0</v>
      </c>
      <c r="AF25" s="842">
        <f>SUM(H25:I25)</f>
        <v>0</v>
      </c>
      <c r="AG25" s="842">
        <f>IF(AJ25&lt;&gt;"","",SUM(J25:K25))</f>
        <v>0</v>
      </c>
      <c r="AH25" s="842">
        <f aca="true" t="shared" si="105" ref="AH25:AH31">IF(COUNT(H25:K25)=0,"",MIN(H25:K25))</f>
      </c>
      <c r="AI25" s="842">
        <f>IF(AH25="",0,COUNTIF(H25:K25,AH25))</f>
        <v>0</v>
      </c>
      <c r="AJ25" s="289">
        <f t="shared" si="100"/>
      </c>
      <c r="AK25" s="842"/>
      <c r="AL25" s="255"/>
      <c r="AM25" s="842" t="str">
        <f>IF(AND(AB25=4,AB26&lt;4,AB27&lt;4),D25,IF(OR(AND($BF$36&lt;&gt;"",ISNA(MATCH($BF$36,$Z$25:$Z$28,0))=FALSE),AJ26&lt;&gt;"",AJ27&lt;&gt;""),"",IF(AND($AE25=MAX($AE$25:$AE$27),COUNTIF($AE$25:$AE$27,MAX($AE$25:$AE$27))=1),Z25,IF(AND($AE25=MAX($AE$25:$AE$27),COUNTIF($AE$25:$AE$27,MAX($AE$25:$AE$27))&gt;1,$AG25=MAX($AG$25:$AG$27)),Z25,""))))</f>
        <v>BI</v>
      </c>
      <c r="AN25" s="917">
        <f>IF(AND(MAX(AO25:BC25)&gt;0,MAX(AO25:BC25)=MAX($AO$25:$BC$27)),ROW(AO25),"")</f>
      </c>
      <c r="AO25" s="965">
        <v>0</v>
      </c>
      <c r="AP25" s="505">
        <f>IF(OR($AP$24="",VLOOKUP(AX24,$Z$11:$AJ$13,11,FALSE)&lt;&gt;"",VLOOKUP($BC$24,$Z$11:$AJ$13,11,FALSE)&lt;&gt;""),"",IF(OR($AB$25&lt;&gt;4,$AB$26&lt;&gt;4,$AB$11&lt;&gt;4,AND($Q$6&lt;&gt;"",$Q$25&lt;&gt;"S",VLOOKUP($AP$24,D10:R31,14,FALSE)&lt;&gt;"S",AJ25="",COUNTIF($AB$11:$AB$13,4)&lt;&gt;1)),"",SUM($AE$25,J26:K26)+$AE$11+MAX(H27:K27)))</f>
      </c>
      <c r="AQ25" s="505">
        <f>IF(OR($AQ$24="",VLOOKUP(AX24,$Z$11:$AJ$13,11,FALSE)&lt;&gt;"",VLOOKUP($BC$24,$Z$11:$AJ$13,11,FALSE)&lt;&gt;""),"",IF(OR($AB$25&lt;&gt;4,$AB$27&lt;&gt;4,$AB$11&lt;&gt;4,AND($Q$6&lt;&gt;"",$Q$25&lt;&gt;"S",VLOOKUP($AQ$24,D10:R31,14,FALSE)&lt;&gt;"S",AJ25="",COUNTIF($AB$11:$AB$13,4)&lt;&gt;1)),"",SUM($AE$25,J27:K27)+$AE$11+MAX(H26:K26)))</f>
      </c>
      <c r="AR25" s="505">
        <f>IF(OR($AR$24="",VLOOKUP(AX24,$Z$11:$AJ$13,11,FALSE)&lt;&gt;"",VLOOKUP($BC$24,$Z$11:$AJ$13,11,FALSE)&lt;&gt;""),"",IF(OR($AB$25&lt;&gt;4,$AB$28&lt;&gt;4,$AB$11&lt;&gt;4,AND($Q$6&lt;&gt;"",$Q$25&lt;&gt;"S",VLOOKUP($AR$24,D10:R31,14,FALSE)&lt;&gt;"S",AJ25="",COUNTIF($AB$11:$AB$13,4)&lt;&gt;1)),0,SUM($AE$25,J28:K28)+$AE$11))</f>
      </c>
      <c r="AS25" s="976"/>
      <c r="AT25" s="968">
        <v>0</v>
      </c>
      <c r="AU25" s="842">
        <f>IF(OR($AU$24="",VLOOKUP($AS$24,$Z$11:$AJ$13,11,FALSE)&lt;&gt;"",VLOOKUP($BC$24,$Z$11:$AJ$13,11,FALSE)&lt;&gt;""),"",IF(OR($AB$25&lt;&gt;4,$AB$26&lt;&gt;4,$AB$12&lt;&gt;4,AND($Q$6&lt;&gt;"",$Q$25&lt;&gt;"S",VLOOKUP($AP$24,D10:R31,14,FALSE)&lt;&gt;"S",AJ25="",COUNTIF($AB$11:$AB$13,4)&lt;&gt;1)),"",SUM($AE$25,J26:K26)+$AE$12+MAX(H27:K27)))</f>
      </c>
      <c r="AV25" s="842">
        <f>IF(OR($AV$24="",VLOOKUP($AS$24,$Z$11:$AJ$13,11,FALSE)&lt;&gt;"",VLOOKUP($BC$24,$Z$11:$AJ$13,11,FALSE)&lt;&gt;""),"",IF(OR($AB$25&lt;&gt;4,$AB$27&lt;&gt;4,$AB$12&lt;&gt;4,AND($Q$6&lt;&gt;"",$Q$25&lt;&gt;"S",VLOOKUP($AQ$24,D10:R31,14,FALSE)&lt;&gt;"S",AJ25="",COUNTIF($AB$11:$AB$13,4)&lt;&gt;1)),"",SUM($AE$25,J27:K27)+$AE$12+MAX(H26:K26)))</f>
      </c>
      <c r="AW25" s="842">
        <f>IF(OR($AW$24="",VLOOKUP($AS$24,$Z$11:$AJ$13,11,FALSE)&lt;&gt;"",VLOOKUP($BC$24,$Z$11:$AJ$13,11,FALSE)&lt;&gt;""),"",IF(OR($AB$25&lt;&gt;4,$AB$28&lt;&gt;4,$AB$12&lt;&gt;4,AND($Q$6&lt;&gt;"",$Q$25&lt;&gt;"S",VLOOKUP($AR$24,D10:R31,14,FALSE)&lt;&gt;"S",AJ25="",COUNTIF($AB$11:$AB$13,4)&lt;&gt;1)),0,SUM($AE$25,J28:K28)+$AE$12))</f>
      </c>
      <c r="AX25" s="977"/>
      <c r="AY25" s="965">
        <v>0</v>
      </c>
      <c r="AZ25" s="505">
        <f>IF(OR($AZ$24="",VLOOKUP($AS$24,$Z$11:$AJ$13,11,FALSE)&lt;&gt;"",VLOOKUP(AX24,$Z$11:$AJ$13,11,FALSE)&lt;&gt;""),"",IF(OR($AB$25&lt;&gt;4,$AB$26&lt;&gt;4,$AB$13&lt;&gt;4,AND($Q$6&lt;&gt;"",$Q$25&lt;&gt;"S",VLOOKUP($AP$24,D10:R31,14,FALSE)&lt;&gt;"S",AJ25="",COUNTIF($AB$11:$AB$13,4)&lt;&gt;1)),"",SUM($AE$25,J26:K26)+$AE$13+MAX(H27:K27)))</f>
      </c>
      <c r="BA25" s="505">
        <f>IF(OR($BA$24="",VLOOKUP($AS$24,$Z$11:$AJ$13,11,FALSE)&lt;&gt;"",VLOOKUP(AX24,$Z$11:$AJ$13,11,FALSE)&lt;&gt;""),"",IF(OR($AB$25&lt;&gt;4,$AB$27&lt;&gt;4,$AB$13&lt;&gt;4,AND($Q$6&lt;&gt;"",$Q$25&lt;&gt;"S",VLOOKUP($AQ$24,D10:R31,14,FALSE)&lt;&gt;"S",AJ25="",COUNTIF($AB$11:$AB$13,4)&lt;&gt;1)),"",SUM($AE$25,J27:K27)+$AE$13+MAX(H26:K26)))</f>
      </c>
      <c r="BB25" s="505">
        <f>IF(OR($BB$24="",VLOOKUP($AS$24,$Z$11:$AJ$13,11,FALSE)&lt;&gt;"",VLOOKUP(AX24,$Z$11:$AJ$13,11,FALSE)&lt;&gt;""),"",IF(OR($AB$25&lt;&gt;4,$AB$28&lt;&gt;4,$AB$13&lt;&gt;4,AND($Q$6&lt;&gt;"",$Q$25&lt;&gt;"S",VLOOKUP($AR$24,D10:R31,14,FALSE)&lt;&gt;"S",AJ25="",COUNTIF($AB$11:$AB$13,4)&lt;&gt;1)),0,SUM($AE$25,J28:K28)+$AE$13))</f>
      </c>
      <c r="BC25" s="976"/>
      <c r="BD25" s="842">
        <f ca="1">IF(AB25&lt;&gt;4,"",IF(OR(E25&lt;&gt;"",COUNTIF($D$25:$D$27,"")=2),Z25,IF(AND(MAX(AO25:BC25)=MAX($AO$25:$BC$27),COUNTIF($AO$25:$BC$27,MAX($AO$25:$BC$27))=1),Z25,IF(OR(AND(MAX(AO25:BC25)=MAX($AO$25:$BC$27),COUNTIF($AO$25:$BC$27,MAX($AO$25:$BC$27))&gt;1,MIN(H25:I25)&gt;=MIN(INDIRECT("H"&amp;AN26&amp;AN27&amp;":I"&amp;AN26&amp;AN27))),AND(MAX(AO25:BC25)=MAX($AO$25:$BC$27),COUNTIF($AO$25:$BC$27,MAX($AO$25:$BC$27))&gt;1,MIN(H25:I25)=MIN(INDIRECT("H"&amp;AN26&amp;AN27&amp;":I"&amp;AN26&amp;AN27)),COUNTIF($AI$25:$AI$27,MIN($AI$25:$AI$27)=1))),Z25,""))))</f>
      </c>
      <c r="BE25" s="842">
        <f ca="1">IF(COUNTIF(AJ11:AJ13,"")=1,"",IF(OR(BD25="",MAX(AO25:BC25)=0),"",IF(AJ25="",OFFSET($AO$24,0,MATCH(MAX(AO25:BC25),$AO$25:$BC$25,0)-1),OFFSET($AO$24,0,MATCH(MAX(AO25:BC25),$AO$25:$BC$25,0)-1))))</f>
      </c>
      <c r="BF25" s="842">
        <f ca="1">IF(AND(COUNTIF($BF$11:$BF$13,"")=3,BE25&lt;&gt;""),BE25,IF(OR(BE25="",COUNTIF($AJ$11:$AJ$13,"")=1),"",IF(OR(MAX(AO25:BB25)&lt;MAX($AO$11:$BB$13),AND(MAX(AO25:BB25)=MAX($AO$11:$BB$13),INDIRECT("AH"&amp;MATCH($BE$29,$Z$25:$Z$28,0)+23)&lt;INDIRECT("AH"&amp;MATCH($BE$15,$Z$11:$Z$13,0)+10)),AND(MAX(AO25:BB25)=MAX($AO$11:$BB$13),INDIRECT("AH"&amp;MATCH($BE$29,$Z$25:$Z$28,0)+24)=INDIRECT("AH"&amp;MATCH($BE$15,$Z$11:$Z$13,0)+10),INDIRECT("AI"&amp;MATCH($BE$29,$Z$25:$Z$28,0)+24)&gt;INDIRECT("AI"&amp;MATCH($BE$15,$Z$11:$Z$13,0)+10))),"",IF(AND(OR(BE27&lt;&gt;"",BE26&lt;&gt;""),MIN(H25:I25)=MIN(H25:I28),COUNTIF(H26:I28,MIN(H25:I28))=1),"",BE25))))</f>
      </c>
      <c r="BG25" s="248">
        <f>IF(BE25="","",MAX(AO25:BC25))</f>
      </c>
      <c r="BH25" s="61"/>
      <c r="BI25" s="61"/>
      <c r="BJ25" s="61"/>
      <c r="BK25" s="248"/>
      <c r="BL25" s="255"/>
      <c r="BM25" s="842">
        <f aca="true" t="shared" si="106" ref="BM25:BN27">IF(H25="","",IF(OR($E25&lt;&gt;"",$AM25&lt;&gt;""),H25,IF(AND(COUNTIF($E$11:$E$13,"")=1,$AM25&lt;&gt;""),H25,IF(AND(COUNTIF($E$11:$E$13,"")=1,ISNA(MATCH($BF$36,$BF$25:$BF$28,0))=FALSE),"",IF(AND(ISNA(MATCH($BF$36,$BF$25:$BF$28,0))=FALSE,$BF25=""),"",IF(ISNA(MATCH($BF$36,$BF$11:$BF$13,0))=FALSE,"",H25))))))</f>
      </c>
      <c r="BN25" s="842">
        <f t="shared" si="106"/>
      </c>
      <c r="BO25" s="842">
        <f aca="true" t="shared" si="107" ref="BO25:BP28">IF(J25="","",IF(OR($AM25&lt;&gt;"",$E25&lt;&gt;"",$BF$36=$Z25),J25,IF(AND(COUNTIF($E$11:$E$13,"")=1,$AM25&lt;&gt;""),J25,IF(AND(COUNTIF($E$11:$E$13,"")=1,ISNA(MATCH($BF$36,$BF$25:$BF$28,0))=FALSE),"",IF(AND(ISNA(MATCH($BF$36,$BF$25:$BF$28,0))=FALSE,$BF25&lt;&gt;""),J25,IF($BF$36=$Z25,J25,""))))))</f>
      </c>
      <c r="BP25" s="842">
        <f t="shared" si="107"/>
      </c>
      <c r="BQ25" s="247">
        <f>IF(OR(E25=1,E25=2),SUM(H25:K25),0)</f>
        <v>0</v>
      </c>
      <c r="BR25" s="567">
        <f t="shared" si="5"/>
        <v>0</v>
      </c>
      <c r="BS25" s="567">
        <f t="shared" si="6"/>
        <v>0</v>
      </c>
      <c r="BT25" s="842">
        <f aca="true" t="shared" si="108" ref="BT25:BW30">IF(OR(BM25&lt;&gt;"",H25="",$AA25&lt;&gt;0),"",H25)</f>
      </c>
      <c r="BU25" s="842">
        <f t="shared" si="108"/>
      </c>
      <c r="BV25" s="842">
        <f t="shared" si="108"/>
      </c>
      <c r="BW25" s="842">
        <f t="shared" si="108"/>
      </c>
      <c r="BX25" s="327"/>
      <c r="BY25" s="1072">
        <f t="shared" si="97"/>
      </c>
      <c r="BZ25" s="393"/>
      <c r="CA25" s="842">
        <f t="shared" si="9"/>
      </c>
      <c r="CB25" s="842">
        <f t="shared" si="10"/>
      </c>
      <c r="CC25" s="842">
        <f t="shared" si="11"/>
      </c>
      <c r="CD25" s="842">
        <f t="shared" si="12"/>
      </c>
      <c r="CE25" s="919"/>
      <c r="CF25" s="1033">
        <f t="shared" si="13"/>
      </c>
      <c r="CG25" s="1033">
        <f t="shared" si="14"/>
      </c>
      <c r="CH25" s="1033">
        <f t="shared" si="15"/>
      </c>
      <c r="CI25" s="1033">
        <f t="shared" si="16"/>
      </c>
      <c r="CJ25" s="393"/>
      <c r="CK25" s="919"/>
      <c r="CL25" s="393"/>
      <c r="CM25" s="684"/>
      <c r="CN25" s="672"/>
      <c r="CO25" s="259" t="str">
        <f t="shared" si="17"/>
        <v>BI</v>
      </c>
      <c r="CP25" s="260">
        <f t="shared" si="18"/>
      </c>
      <c r="CQ25" s="259"/>
      <c r="CR25" s="260"/>
      <c r="CS25" s="345">
        <f aca="true" t="shared" si="109" ref="CS25:CV30">IF(OR($Z25="",H25=""),"",IF(BM25&lt;&gt;"",BM25,IF(CF25&lt;&gt;"",CF25,"("&amp;H25&amp;")")))</f>
      </c>
      <c r="CT25" s="345">
        <f t="shared" si="109"/>
      </c>
      <c r="CU25" s="345">
        <f t="shared" si="109"/>
      </c>
      <c r="CV25" s="345">
        <f t="shared" si="109"/>
      </c>
      <c r="CW25" s="50">
        <f t="shared" si="101"/>
        <v>0</v>
      </c>
      <c r="CX25" s="69">
        <f t="shared" si="20"/>
        <v>0</v>
      </c>
      <c r="CY25" s="70">
        <f t="shared" si="21"/>
      </c>
      <c r="CZ25" s="39"/>
      <c r="DA25" s="304"/>
      <c r="DB25" s="304"/>
      <c r="DC25" s="304"/>
      <c r="DD25" s="33"/>
      <c r="DE25" s="71">
        <f t="shared" si="22"/>
        <v>0</v>
      </c>
      <c r="DF25" s="71" t="str">
        <f t="shared" si="23"/>
        <v>0</v>
      </c>
      <c r="DG25" s="393"/>
      <c r="DH25" s="393"/>
      <c r="DI25" s="919"/>
      <c r="DJ25" s="393"/>
      <c r="DK25" s="642">
        <f aca="true" t="shared" si="110" ref="DK25:DK34">IF($CN$5=1,IF(ISNA(MATCH(ADDRESS(ROW(BT25),COLUMN(BT25),4),$DH$10:$DH$12,0))=TRUE,"",BT25),IF(ISNA(MATCH(ADDRESS(ROW(BT76),COLUMN(BT76),4),$DH$10:$DH$12,0))=TRUE,"",BT76))</f>
      </c>
      <c r="DL25" s="642">
        <f aca="true" t="shared" si="111" ref="DL25:DL34">IF($CN$5=1,IF(ISNA(MATCH(ADDRESS(ROW(BU25),COLUMN(BU25),4),$DH$10:$DH$12,0))=TRUE,"",BU25),IF(ISNA(MATCH(ADDRESS(ROW(BU76),COLUMN(BU76),4),$DH$10:$DH$12,0))=TRUE,"",BU76))</f>
      </c>
      <c r="DM25" s="642">
        <f aca="true" t="shared" si="112" ref="DM25:DM34">IF($CN$5=1,IF(ISNA(MATCH(ADDRESS(ROW(BV25),COLUMN(BV25),4),$DH$10:$DH$12,0))=TRUE,"",BV25),IF(ISNA(MATCH(ADDRESS(ROW(BV76),COLUMN(BV76),4),$DH$10:$DH$12,0))=TRUE,"",BV76))</f>
      </c>
      <c r="DN25" s="642">
        <f aca="true" t="shared" si="113" ref="DN25:DN34">IF($CN$5=1,IF(ISNA(MATCH(ADDRESS(ROW(BW25),COLUMN(BW25),4),$DH$10:$DH$12,0))=TRUE,"",BW25),IF(ISNA(MATCH(ADDRESS(ROW(BW76),COLUMN(BW76),4),$DH$10:$DH$12,0))=TRUE,"",BW76))</f>
      </c>
      <c r="DO25" s="919"/>
      <c r="DP25" s="393"/>
      <c r="DQ25" s="684"/>
      <c r="DR25" s="672"/>
      <c r="DS25" s="259" t="str">
        <f t="shared" si="25"/>
        <v>BI</v>
      </c>
      <c r="DT25" s="260">
        <f t="shared" si="26"/>
      </c>
      <c r="DU25" s="259"/>
      <c r="DV25" s="260"/>
      <c r="DW25" s="345">
        <f aca="true" t="shared" si="114" ref="DW25:DZ31">IF($CN$5=1,IF(DK25="",CS25,DK25),IF(DK25="",CS76,DK25))</f>
      </c>
      <c r="DX25" s="345">
        <f t="shared" si="114"/>
      </c>
      <c r="DY25" s="345">
        <f t="shared" si="114"/>
      </c>
      <c r="DZ25" s="345">
        <f t="shared" si="114"/>
      </c>
      <c r="EA25" s="50">
        <f t="shared" si="102"/>
        <v>0</v>
      </c>
      <c r="EB25" s="69">
        <f t="shared" si="28"/>
        <v>0</v>
      </c>
      <c r="EC25" s="70">
        <f t="shared" si="29"/>
      </c>
      <c r="ED25" s="39"/>
      <c r="EE25" s="304"/>
      <c r="EF25" s="304"/>
      <c r="EG25" s="71">
        <f t="shared" si="30"/>
        <v>0</v>
      </c>
      <c r="EH25" s="71" t="str">
        <f t="shared" si="31"/>
        <v>0</v>
      </c>
      <c r="EI25" s="393"/>
      <c r="EJ25" s="393"/>
      <c r="EK25" s="64" t="s">
        <v>392</v>
      </c>
      <c r="EL25" s="1030">
        <f ca="1">IF(OR(EL9="",EL8=0),BD25&amp;BD26&amp;BD27,IF(EM10&gt;14,INDIRECT("Z"&amp;EM10),INDIRECT(ADDRESS(10,COLUMN(INDIRECT(EM8))+5-MOD(COLUMN(INDIRECT(EM8)),8),4))))</f>
      </c>
      <c r="EM25" s="1033">
        <v>1</v>
      </c>
      <c r="EN25" s="568" t="s">
        <v>71</v>
      </c>
      <c r="EO25" s="571">
        <f aca="true" t="shared" si="115" ref="EO25:EP27">IF($CN$5=1,IF(OR($EE$41&lt;9,COUNTA($D$25:$D$27)=1,$E25&lt;&gt;""),BM25,IF(OR($EL$25=$Z25,$EM$10=ROW(EN25)),H25,"")),IF(OR($EE$41&lt;9,COUNTA($D$25:$D$27)=1,$E25&lt;&gt;""),BM76,IF(OR($EL$25=$Z25,$EM$10=ROW(EN25)),H25,"")))</f>
      </c>
      <c r="EP25" s="571">
        <f t="shared" si="115"/>
      </c>
      <c r="EQ25" s="571">
        <f aca="true" t="shared" si="116" ref="EQ25:ER27">IF($CN$5=1,IF(OR($EE$41&lt;9,COUNTA($D$25:$D$27)=1,$E25&lt;&gt;"",$EL$9=""),BO25,IF(OR($EL$25=$Z25,$EL$26=$Z25),J25,IF(OR($EM$10=ROW(EP25),AND($EN$26=$EM25,$EM$10&lt;14)),J25,""))),IF(OR($EE$41&lt;9,COUNTA($D$25:$D$27)=1,$E25&lt;&gt;"",$EL$9=""),BO76,IF(OR($EL$25=$Z25,$EL$26=$Z25),J25,IF(OR($EM$10=ROW(EP25),AND($EN$26=$EM25,$EM$10&lt;14)),J25,""))))</f>
      </c>
      <c r="ER25" s="571">
        <f t="shared" si="116"/>
      </c>
      <c r="ES25" s="391">
        <f t="shared" si="34"/>
        <v>0</v>
      </c>
      <c r="ET25" s="391"/>
      <c r="EU25" s="958">
        <f aca="true" t="shared" si="117" ref="EU25:EX32">IF(OR(EO25&lt;&gt;"",H25="",$D25=""),"",H25)</f>
      </c>
      <c r="EV25" s="958">
        <f t="shared" si="117"/>
      </c>
      <c r="EW25" s="958">
        <f t="shared" si="117"/>
      </c>
      <c r="EX25" s="958">
        <f t="shared" si="117"/>
      </c>
      <c r="EY25" s="685"/>
      <c r="EZ25" s="579"/>
      <c r="FA25" s="962">
        <f t="shared" si="1"/>
        <v>0</v>
      </c>
      <c r="FB25" s="962">
        <f t="shared" si="36"/>
        <v>0</v>
      </c>
      <c r="FC25" s="960"/>
      <c r="FL25" s="842">
        <f t="shared" si="38"/>
      </c>
      <c r="FM25" s="842">
        <f t="shared" si="39"/>
      </c>
      <c r="FN25" s="842">
        <f t="shared" si="40"/>
      </c>
      <c r="FO25" s="842">
        <f t="shared" si="41"/>
      </c>
      <c r="FP25" s="255"/>
      <c r="FQ25" s="684"/>
      <c r="FR25" s="684"/>
      <c r="FS25" s="684"/>
      <c r="FT25" s="684"/>
      <c r="FU25" s="684"/>
      <c r="FV25" s="672"/>
      <c r="FW25" s="259" t="str">
        <f t="shared" si="79"/>
        <v>BI</v>
      </c>
      <c r="FX25" s="260">
        <f t="shared" si="80"/>
      </c>
      <c r="FY25" s="259"/>
      <c r="FZ25" s="260"/>
      <c r="GA25" s="345">
        <f aca="true" t="shared" si="118" ref="GA25:GD27">IF($CN$5=1,IF($EE$41&lt;8,CS25,IF($EE$41=8,DW25,IF(EO25&lt;&gt;"",EO25,IF(FL25&lt;&gt;"",FL25,IF(H25="","","("&amp;H25&amp;")"))))),IF($EE$41&lt;8,CS76,IF($EE$41=8,DW25,IF(EO25&lt;&gt;"",EO25,IF(FL25&lt;&gt;"",FL25,IF(H25="","","("&amp;H25&amp;")"))))))</f>
      </c>
      <c r="GB25" s="345">
        <f t="shared" si="118"/>
      </c>
      <c r="GC25" s="345">
        <f t="shared" si="118"/>
      </c>
      <c r="GD25" s="345">
        <f t="shared" si="118"/>
      </c>
      <c r="GE25" s="50">
        <f t="shared" si="103"/>
        <v>0</v>
      </c>
      <c r="GF25" s="69">
        <f t="shared" si="44"/>
        <v>0</v>
      </c>
      <c r="GG25" s="70">
        <f t="shared" si="45"/>
      </c>
      <c r="GH25" s="39"/>
      <c r="GI25" s="304"/>
      <c r="GJ25" s="304"/>
      <c r="GK25" s="71">
        <f t="shared" si="46"/>
        <v>0</v>
      </c>
      <c r="GL25" s="71" t="str">
        <f t="shared" si="47"/>
        <v>0</v>
      </c>
      <c r="GM25" s="71"/>
      <c r="GN25" s="71"/>
      <c r="GO25" s="71"/>
      <c r="GP25" s="71"/>
      <c r="GQ25" s="71"/>
      <c r="GR25" s="71"/>
      <c r="GS25" s="71"/>
      <c r="GT25" s="324"/>
      <c r="GU25" s="324"/>
      <c r="GV25" s="1065">
        <f t="shared" si="51"/>
      </c>
      <c r="GW25" s="1065">
        <f t="shared" si="52"/>
      </c>
      <c r="GX25" s="1065">
        <f t="shared" si="53"/>
      </c>
      <c r="GY25" s="1065">
        <f t="shared" si="54"/>
      </c>
      <c r="GZ25" s="393"/>
      <c r="HA25" s="324"/>
      <c r="HB25" s="672"/>
      <c r="HC25" s="259" t="str">
        <f t="shared" si="86"/>
        <v>BI</v>
      </c>
      <c r="HD25" s="260">
        <f t="shared" si="87"/>
      </c>
      <c r="HE25" s="259"/>
      <c r="HF25" s="260"/>
      <c r="HG25" s="345">
        <f aca="true" t="shared" si="119" ref="HG25:HJ27">IF($CN$5=1,IF($EE$41&lt;8,CS25,IF($EE$41=8,DW25,IF(EO25&lt;&gt;"",EO25,IF(GV25&lt;&gt;"",GV25,IF(H25="","","("&amp;H25&amp;")"))))),IF($EE$41&lt;8,CS76,IF($EE$41=8,DW25,IF(EO25&lt;&gt;"",EO25,IF(GV25&lt;&gt;"",GV25,IF(H25="","","("&amp;H25&amp;")"))))))</f>
      </c>
      <c r="HH25" s="345">
        <f t="shared" si="119"/>
      </c>
      <c r="HI25" s="345">
        <f t="shared" si="119"/>
      </c>
      <c r="HJ25" s="345">
        <f t="shared" si="119"/>
      </c>
      <c r="HK25" s="50">
        <f t="shared" si="104"/>
        <v>0</v>
      </c>
      <c r="HL25" s="69">
        <f t="shared" si="56"/>
        <v>0</v>
      </c>
      <c r="HM25" s="70">
        <f t="shared" si="57"/>
      </c>
      <c r="HN25" s="39"/>
      <c r="HO25" s="304"/>
      <c r="HP25" s="304"/>
      <c r="HQ25" s="71">
        <f t="shared" si="58"/>
        <v>0</v>
      </c>
      <c r="HR25" s="71" t="str">
        <f t="shared" si="59"/>
        <v>0</v>
      </c>
    </row>
    <row r="26" spans="1:226" ht="15" customHeight="1">
      <c r="A26" s="418">
        <f>IF(BD26="","",26)</f>
      </c>
      <c r="B26" s="886">
        <f>IF(OR(COUNTIF($BE$25:$BE$28,"")=4,$BE$25&amp;$BE$26&amp;$BE$27&amp;$BE$28&lt;&gt;$D26),"",26)</f>
      </c>
      <c r="C26" s="855">
        <f>IF(AND(A26="",B26="",C25="",COUNTIF($D$25:$D$27,"")=0,COUNT(H26:K26)=4),26,"")</f>
      </c>
      <c r="D26" s="337">
        <f>IF(Zulassung!D25="","",Zulassung!D25)</f>
      </c>
      <c r="E26" s="514">
        <f>IF(Zulassung!E25="","",Zulassung!E25)</f>
      </c>
      <c r="F26" s="515">
        <f>IF(Zulassung!F25="","",Zulassung!F25)</f>
      </c>
      <c r="G26" s="516">
        <f>IF(Zulassung!G25="","",Zulassung!G25)</f>
      </c>
      <c r="H26" s="550">
        <f>IF(Zulassung!H25="","",Zulassung!H25)</f>
      </c>
      <c r="I26" s="551">
        <f>IF(Zulassung!I25="","",Zulassung!I25)</f>
      </c>
      <c r="J26" s="551">
        <f>IF(Zulassung!J25="","",Zulassung!J25)</f>
      </c>
      <c r="K26" s="552">
        <f>IF(Zulassung!K25="","",Zulassung!K25)</f>
      </c>
      <c r="L26" s="370">
        <f t="shared" si="0"/>
      </c>
      <c r="O26" s="681"/>
      <c r="P26" s="255"/>
      <c r="Q26" s="1367">
        <f>IF(Zulassung!O25="","",Zulassung!O25)</f>
      </c>
      <c r="R26" s="1367"/>
      <c r="S26" s="304"/>
      <c r="T26" s="842">
        <f t="shared" si="60"/>
        <v>0</v>
      </c>
      <c r="U26" s="842" t="str">
        <f t="shared" si="2"/>
        <v>0</v>
      </c>
      <c r="V26" s="842">
        <f t="shared" si="3"/>
        <v>0</v>
      </c>
      <c r="W26" s="842">
        <f t="shared" si="4"/>
        <v>0</v>
      </c>
      <c r="Z26" s="842">
        <f t="shared" si="61"/>
      </c>
      <c r="AA26" s="842">
        <f>IF(OR(AND(G26="",MAX(H26:K26)&gt;0),AND(H26="",MAX(I26:K26)&gt;0),AND(I26="",MAX(J26:K26)&gt;0),AND(J26="",K26&lt;&gt;"")),1,0)</f>
        <v>0</v>
      </c>
      <c r="AB26" s="842">
        <f t="shared" si="94"/>
        <v>0</v>
      </c>
      <c r="AC26" s="842"/>
      <c r="AD26" s="842">
        <f>IF(D26="","",IF(OR($AB$25=4,$AB$26=4,$AB$27=4),"W","F"))</f>
      </c>
      <c r="AE26" s="842">
        <f>SUM(H26:K26)</f>
        <v>0</v>
      </c>
      <c r="AF26" s="842">
        <f>SUM(H26:I26)</f>
        <v>0</v>
      </c>
      <c r="AG26" s="842">
        <f>IF(AJ26&lt;&gt;"","",SUM(J26:K26))</f>
        <v>0</v>
      </c>
      <c r="AH26" s="842">
        <f t="shared" si="105"/>
      </c>
      <c r="AI26" s="842">
        <f>IF(AH26="","",COUNTIF(H26:K26,AH26))</f>
      </c>
      <c r="AJ26" s="289">
        <f t="shared" si="100"/>
      </c>
      <c r="AK26" s="842"/>
      <c r="AL26" s="255"/>
      <c r="AM26" s="842">
        <f>IF(AND(AB26=4,AB25&lt;4,AB27&lt;4),D26,IF(OR(AND($BF$36&lt;&gt;"",ISNA(MATCH($BF$36,$Z$25:$Z$28,0))=FALSE),AJ25&lt;&gt;"",AJ27&lt;&gt;""),"",IF(AND($AE26=MAX($AE$25:$AE$27),COUNTIF($AE$25:$AE$27,MAX($AE$25:$AE$27))=1),Z26,IF(AND($AE26=MAX($AE$25:$AE$27),COUNTIF($AE$25:$AE$27,MAX($AE$25:$AE$27))&gt;1,$AG26=MAX($AG$25:$AG$27)),Z26,""))))</f>
      </c>
      <c r="AN26" s="917">
        <f>IF(AND(MAX(AO26:BC26)&gt;0,MAX(AO26:BC26)=MAX($AO$25:$BC$27)),ROW(AO26),"")</f>
      </c>
      <c r="AO26" s="505">
        <f>IF(OR($AO$24="",VLOOKUP(AX24,$Z$11:$AJ$13,11,FALSE)&lt;&gt;"",VLOOKUP($BC$24,$Z$11:$AJ$13,11,FALSE)&lt;&gt;""),"",IF(OR($AB$26&lt;&gt;4,$AB$25&lt;&gt;4,$AB$11&lt;&gt;4,AND($Q$6&lt;&gt;"",$Q$26&lt;&gt;"S",VLOOKUP($AO$24,D10:R31,14,FALSE)&lt;&gt;"S",AJ26="",COUNTIF($AB$11:$AB$13,4)&lt;&gt;1)),"",SUM($AE$26,J25:K25)+$AE$11+MAX(H27:K27)))</f>
      </c>
      <c r="AP26" s="965">
        <v>0</v>
      </c>
      <c r="AQ26" s="505">
        <f>IF(OR($AQ$24="",VLOOKUP(AX24,$Z$11:$AJ$13,11,FALSE)&lt;&gt;"",VLOOKUP($BC$24,$Z$11:$AJ$13,11,FALSE)&lt;&gt;""),"",IF(OR($AB$26&lt;&gt;4,$AB$27&lt;&gt;4,$AB$11&lt;&gt;4,AND($Q$6&lt;&gt;"",$Q$26&lt;&gt;"S",VLOOKUP($AQ$24,D10:R31,14,FALSE)&lt;&gt;"S",AJ26="",COUNTIF($AB$11:$AB$13,4)&lt;&gt;1)),"",SUM($AE$26,J27:K27)+$AE$11+MAX(H25:K25)))</f>
      </c>
      <c r="AR26" s="505">
        <f>IF(OR($AR$24="",VLOOKUP(AX24,$Z$11:$AJ$13,11,FALSE)&lt;&gt;"",VLOOKUP($BC$24,$Z$11:$AJ$13,11,FALSE)&lt;&gt;""),"",IF(OR($AB$26&lt;&gt;4,$AB$28&lt;&gt;4,$AB$11&lt;&gt;4,AND($Q$6&lt;&gt;"",$Q$26&lt;&gt;"S",VLOOKUP($AR$24,D10:R31,14,FALSE)&lt;&gt;"S",AJ26="",COUNTIF($AB$11:$AB$13,4)&lt;&gt;1)),0,SUM($AE$26,J28:K28)+$AE$11))</f>
      </c>
      <c r="AS26" s="976"/>
      <c r="AT26" s="842">
        <f>IF(OR($AT$24="",VLOOKUP($AS$24,$Z$11:$AJ$13,11,FALSE)&lt;&gt;"",VLOOKUP($BC$24,$Z$11:$AJ$13,11,FALSE)&lt;&gt;""),"",IF(OR($AB$26&lt;&gt;4,$AB$25&lt;&gt;4,$AB$12&lt;&gt;4,AND($Q$6&lt;&gt;"",$Q$26&lt;&gt;"S",VLOOKUP($AO$24,D10:R31,14,FALSE)&lt;&gt;"S",AJ26="",COUNTIF($AB$11:$AB$13,4)&lt;&gt;1)),"",SUM($AE$26,J25:K25)+$AE$12+MAX(H27:K27)))</f>
      </c>
      <c r="AU26" s="968">
        <v>0</v>
      </c>
      <c r="AV26" s="842">
        <f>IF(OR($AV$24="",VLOOKUP($AS$24,$Z$11:$AJ$13,11,FALSE)&lt;&gt;"",VLOOKUP($BC$24,$Z$11:$AJ$13,11,FALSE)&lt;&gt;""),"",IF(OR($AB$26&lt;&gt;4,$AB$27&lt;&gt;4,$AB$12&lt;&gt;4,AND($Q$6&lt;&gt;"",$Q$26&lt;&gt;"S",VLOOKUP($AQ$24,D10:R31,14,FALSE)&lt;&gt;"S",AJ26="",COUNTIF($AB$11:$AB$13,4)&lt;&gt;1)),"",SUM($AE$26,J27:K27)+$AE$12+MAX(H25:K25)))</f>
      </c>
      <c r="AW26" s="842">
        <f>IF(OR($AW$24="",VLOOKUP($AS$24,$Z$11:$AJ$13,11,FALSE)&lt;&gt;"",VLOOKUP($BC$24,$Z$11:$AJ$13,11,FALSE)&lt;&gt;""),"",IF(OR($AB$26&lt;&gt;4,$AB$28&lt;&gt;4,$AB$12&lt;&gt;4,AND($Q$6&lt;&gt;"",$Q$26&lt;&gt;"S",VLOOKUP($AR$24,D10:R31,14,FALSE)&lt;&gt;"S",AJ26="",COUNTIF($AB$11:$AB$13,4)&lt;&gt;1)),0,SUM($AE$26,J28:K28)+$AE$12))</f>
      </c>
      <c r="AX26" s="977"/>
      <c r="AY26" s="505">
        <f>IF(OR($AY$24="",VLOOKUP($AS$24,$Z$11:$AJ$13,11,FALSE)&lt;&gt;"",VLOOKUP(AX24,$Z$11:$AJ$13,11,FALSE)&lt;&gt;""),"",IF(OR($AB$26&lt;&gt;4,$AB$25&lt;&gt;4,$AB$13&lt;&gt;4,AND($Q$6&lt;&gt;"",$Q$26&lt;&gt;"S",VLOOKUP($AO$24,D10:R31,14,FALSE)&lt;&gt;"S",AJ26="",COUNTIF($AB$11:$AB$13,4)&lt;&gt;1)),"",SUM($AE$26,J25:K25)+$AE$13+MAX(H27:K27)))</f>
      </c>
      <c r="AZ26" s="965">
        <v>0</v>
      </c>
      <c r="BA26" s="505">
        <f>IF(OR($BA$24="",VLOOKUP($AS$24,$Z$11:$AJ$13,11,FALSE)&lt;&gt;"",VLOOKUP(AX24,$Z$11:$AJ$13,11,FALSE)&lt;&gt;""),"",IF(OR($AB$26&lt;&gt;4,$AB$27&lt;&gt;4,$AB$13&lt;&gt;4,AND($Q$6&lt;&gt;"",$Q$26&lt;&gt;"S",VLOOKUP($AQ$24,D10:R31,14,FALSE)&lt;&gt;"S",AJ26="",COUNTIF($AB$11:$AB$13,4)&lt;&gt;1)),"",SUM($AE$26,J27:K27)+$AE$13+MAX(H25:K25)))</f>
      </c>
      <c r="BB26" s="505">
        <f>IF(OR($BB$24="",VLOOKUP($AS$24,$Z$11:$AJ$13,11,FALSE)&lt;&gt;"",VLOOKUP(AX24,$Z$11:$AJ$13,11,FALSE)&lt;&gt;""),"",IF(OR($AB$26&lt;&gt;4,$AB$28&lt;&gt;4,$AB$13&lt;&gt;4,AND($Q$6&lt;&gt;"",$Q$26&lt;&gt;"S",VLOOKUP($AR$24,D10:R31,14,FALSE)&lt;&gt;"S",AJ26="",COUNTIF($AB$11:$AB$13,4)&lt;&gt;1)),0,SUM($AE$26,J28:K28)+$AE$13))</f>
      </c>
      <c r="BC26" s="976"/>
      <c r="BD26" s="842">
        <f ca="1">IF(OR(E26&lt;&gt;"",COUNTIF($D$25:$D$27,"")=2),Z26,IF(OR(BD25&lt;&gt;"",AB26&lt;&gt;4,COUNTIF($E$25:$E$27,"")=2),"",IF(AND(MAX(AO26:BC26)=MAX($AO$25:$BC$27),COUNTIF($AO$25:$BC$27,MAX($AO$25:$BC$27))=1),Z26,IF(OR(AND(MAX(AO26:BC26)=MAX($AO$25:$BC$27),COUNTIF($AO$25:$BC$27,MAX($AO$25:$BC$27))&gt;1,MIN(H26:I26)&gt;=MIN(INDIRECT("H"&amp;AN25&amp;AN27&amp;":I"&amp;AN25&amp;AN27))),AND(MAX(AO26:BC26)=MAX($AO$25:$BC$27),COUNTIF($AO$25:$BC$27,MAX($AO$25:$BC$27))&gt;1,MIN(H26:I26)=MIN(INDIRECT("H"&amp;AN25&amp;AN27&amp;":I"&amp;AN25&amp;AN27)),COUNTIF($AI$25:$AI$27,MIN($AI$25:$AI$27)=1))),Z26,""))))</f>
      </c>
      <c r="BE26" s="842">
        <f ca="1">IF(OR(BD26="",COUNTIF(AJ11:AJ13,"")=1),"",IF(OR(BD26="",MAX(AO26:BC26)=0,BE25&lt;&gt;""),"",OFFSET($AO$24,0,MATCH(MAX(AO26:BC26),$AO$26:$BC$26,0)-1)))</f>
      </c>
      <c r="BF26" s="842">
        <f ca="1">IF(AND(COUNTIF($BF$11:$BF$13,"")=3,BE26&lt;&gt;""),BE26,IF(OR(BE26="",COUNTIF($AJ$11:$AJ$13,"")=1),"",IF(OR(MAX(AO26:BB26)&lt;MAX($AO$11:$BB$13),AND(MAX(AO26:BB26)=MAX($AO$11:$BB$13),INDIRECT("AH"&amp;MATCH($BE$29,$Z$25:$Z$28,0)+23)&lt;INDIRECT("AH"&amp;MATCH($BE$15,$Z$11:$Z$13,0)+10)),AND(MAX(AO26:BB26)=MAX($AO$11:$BB$13),INDIRECT("AH"&amp;MATCH($BE$29,$Z$25:$Z$28,0)+24)=INDIRECT("AH"&amp;MATCH($BE$15,$Z$11:$Z$13,0)+10),INDIRECT("AI"&amp;MATCH($BE$29,$Z$25:$Z$28,0)+24)&gt;INDIRECT("AI"&amp;MATCH($BE$15,$Z$11:$Z$13,0)+10))),"",IF(AND(OR(BE28&lt;&gt;"",BE27&lt;&gt;""),MIN(H26:I26)=MIN(H25:I28),COUNTIF(H25:I28,MIN(H25:I28))=1),"",BE26))))</f>
      </c>
      <c r="BG26" s="248">
        <f>IF(BE26="","",MAX(AO26:BC26))</f>
      </c>
      <c r="BH26" s="61"/>
      <c r="BI26" s="61"/>
      <c r="BJ26" s="61"/>
      <c r="BK26" s="248"/>
      <c r="BL26" s="255"/>
      <c r="BM26" s="842">
        <f t="shared" si="106"/>
      </c>
      <c r="BN26" s="842">
        <f t="shared" si="106"/>
      </c>
      <c r="BO26" s="842">
        <f t="shared" si="107"/>
      </c>
      <c r="BP26" s="842">
        <f t="shared" si="107"/>
      </c>
      <c r="BQ26" s="247">
        <f>IF(OR(E26=1,E26=2),SUM(H26:K26),0)</f>
        <v>0</v>
      </c>
      <c r="BR26" s="567">
        <f t="shared" si="5"/>
        <v>0</v>
      </c>
      <c r="BS26" s="567">
        <f t="shared" si="6"/>
        <v>0</v>
      </c>
      <c r="BT26" s="842">
        <f t="shared" si="108"/>
      </c>
      <c r="BU26" s="842">
        <f t="shared" si="108"/>
      </c>
      <c r="BV26" s="842">
        <f t="shared" si="108"/>
      </c>
      <c r="BW26" s="842">
        <f t="shared" si="108"/>
      </c>
      <c r="BX26" s="327"/>
      <c r="BY26" s="1072">
        <f t="shared" si="97"/>
      </c>
      <c r="BZ26" s="393"/>
      <c r="CA26" s="842">
        <f t="shared" si="9"/>
      </c>
      <c r="CB26" s="842">
        <f t="shared" si="10"/>
      </c>
      <c r="CC26" s="842">
        <f t="shared" si="11"/>
      </c>
      <c r="CD26" s="842">
        <f t="shared" si="12"/>
      </c>
      <c r="CE26" s="919"/>
      <c r="CF26" s="1033">
        <f t="shared" si="13"/>
      </c>
      <c r="CG26" s="1033">
        <f t="shared" si="14"/>
      </c>
      <c r="CH26" s="1033">
        <f t="shared" si="15"/>
      </c>
      <c r="CI26" s="1033">
        <f t="shared" si="16"/>
      </c>
      <c r="CJ26" s="393"/>
      <c r="CK26" s="919"/>
      <c r="CL26" s="393"/>
      <c r="CM26" s="684"/>
      <c r="CN26" s="672"/>
      <c r="CO26" s="259">
        <f t="shared" si="17"/>
      </c>
      <c r="CP26" s="260">
        <f t="shared" si="18"/>
      </c>
      <c r="CQ26" s="259"/>
      <c r="CR26" s="260"/>
      <c r="CS26" s="345">
        <f t="shared" si="109"/>
      </c>
      <c r="CT26" s="345">
        <f t="shared" si="109"/>
      </c>
      <c r="CU26" s="345">
        <f t="shared" si="109"/>
      </c>
      <c r="CV26" s="345">
        <f t="shared" si="109"/>
      </c>
      <c r="CW26" s="50">
        <f t="shared" si="101"/>
      </c>
      <c r="CX26" s="69">
        <f t="shared" si="20"/>
      </c>
      <c r="CY26" s="70">
        <f t="shared" si="21"/>
      </c>
      <c r="CZ26" s="33"/>
      <c r="DA26" s="304"/>
      <c r="DB26" s="304"/>
      <c r="DC26" s="304"/>
      <c r="DD26" s="33"/>
      <c r="DE26" s="71">
        <f t="shared" si="22"/>
        <v>0</v>
      </c>
      <c r="DF26" s="71" t="str">
        <f t="shared" si="23"/>
        <v>0</v>
      </c>
      <c r="DG26" s="393"/>
      <c r="DH26" s="393"/>
      <c r="DI26" s="919"/>
      <c r="DJ26" s="393"/>
      <c r="DK26" s="642">
        <f t="shared" si="110"/>
      </c>
      <c r="DL26" s="642">
        <f t="shared" si="111"/>
      </c>
      <c r="DM26" s="642">
        <f t="shared" si="112"/>
      </c>
      <c r="DN26" s="642">
        <f t="shared" si="113"/>
      </c>
      <c r="DO26" s="919"/>
      <c r="DP26" s="393"/>
      <c r="DQ26" s="684"/>
      <c r="DR26" s="672"/>
      <c r="DS26" s="259">
        <f t="shared" si="25"/>
      </c>
      <c r="DT26" s="260">
        <f t="shared" si="26"/>
      </c>
      <c r="DU26" s="259"/>
      <c r="DV26" s="260"/>
      <c r="DW26" s="345">
        <f t="shared" si="114"/>
      </c>
      <c r="DX26" s="345">
        <f t="shared" si="114"/>
      </c>
      <c r="DY26" s="345">
        <f t="shared" si="114"/>
      </c>
      <c r="DZ26" s="345">
        <f t="shared" si="114"/>
      </c>
      <c r="EA26" s="50">
        <f t="shared" si="102"/>
      </c>
      <c r="EB26" s="69">
        <f t="shared" si="28"/>
      </c>
      <c r="EC26" s="70">
        <f t="shared" si="29"/>
      </c>
      <c r="ED26" s="33"/>
      <c r="EE26" s="304"/>
      <c r="EF26" s="304"/>
      <c r="EG26" s="71">
        <f t="shared" si="30"/>
        <v>0</v>
      </c>
      <c r="EH26" s="71" t="str">
        <f t="shared" si="31"/>
        <v>0</v>
      </c>
      <c r="EI26" s="393"/>
      <c r="EJ26" s="393"/>
      <c r="EK26" s="64" t="s">
        <v>393</v>
      </c>
      <c r="EL26" s="1030">
        <f ca="1">IF(ISNA(MATCH(BF36,D25:D27,0))=TRUE,"",IF(AND(EL9="",ISNA(MATCH(BF36,D25:D27,0))=FALSE),BF36,IF(EM10&lt;14,"",INDIRECT(EM9&amp;"23"))))</f>
      </c>
      <c r="EM26" s="1033">
        <v>2</v>
      </c>
      <c r="EN26" s="1046">
        <f ca="1">IF(EL9="","",MOD(COLUMN(INDIRECT(VLOOKUP($EL$9,$BC$38:$BD$53,2,FALSE))),5))</f>
      </c>
      <c r="EO26" s="571">
        <f t="shared" si="115"/>
      </c>
      <c r="EP26" s="571">
        <f t="shared" si="115"/>
      </c>
      <c r="EQ26" s="571">
        <f t="shared" si="116"/>
      </c>
      <c r="ER26" s="571">
        <f t="shared" si="116"/>
      </c>
      <c r="ES26" s="391">
        <f t="shared" si="34"/>
        <v>0</v>
      </c>
      <c r="ET26" s="391"/>
      <c r="EU26" s="958">
        <f t="shared" si="117"/>
      </c>
      <c r="EV26" s="958">
        <f t="shared" si="117"/>
      </c>
      <c r="EW26" s="958">
        <f t="shared" si="117"/>
      </c>
      <c r="EX26" s="958">
        <f t="shared" si="117"/>
      </c>
      <c r="EY26" s="685"/>
      <c r="EZ26" s="579"/>
      <c r="FA26" s="962">
        <f t="shared" si="1"/>
        <v>0</v>
      </c>
      <c r="FB26" s="962">
        <f t="shared" si="36"/>
        <v>0</v>
      </c>
      <c r="FC26" s="960"/>
      <c r="FL26" s="842">
        <f t="shared" si="38"/>
      </c>
      <c r="FM26" s="842">
        <f t="shared" si="39"/>
      </c>
      <c r="FN26" s="842">
        <f t="shared" si="40"/>
      </c>
      <c r="FO26" s="842">
        <f t="shared" si="41"/>
      </c>
      <c r="FP26" s="255"/>
      <c r="FR26" s="1056">
        <f>IF(ISNA(MATCH("31",FR11:FR22,0))=TRUE,0,MATCH("31",FR11:FR22,0))</f>
        <v>0</v>
      </c>
      <c r="FS26" s="684"/>
      <c r="FT26" s="684"/>
      <c r="FU26" s="684"/>
      <c r="FV26" s="672"/>
      <c r="FW26" s="259">
        <f t="shared" si="79"/>
      </c>
      <c r="FX26" s="260">
        <f t="shared" si="80"/>
      </c>
      <c r="FY26" s="259"/>
      <c r="FZ26" s="260"/>
      <c r="GA26" s="345">
        <f t="shared" si="118"/>
      </c>
      <c r="GB26" s="345">
        <f t="shared" si="118"/>
      </c>
      <c r="GC26" s="345">
        <f t="shared" si="118"/>
      </c>
      <c r="GD26" s="345">
        <f t="shared" si="118"/>
      </c>
      <c r="GE26" s="50">
        <f t="shared" si="103"/>
      </c>
      <c r="GF26" s="69">
        <f t="shared" si="44"/>
      </c>
      <c r="GG26" s="70">
        <f t="shared" si="45"/>
      </c>
      <c r="GI26" s="304"/>
      <c r="GJ26" s="304"/>
      <c r="GK26" s="71">
        <f t="shared" si="46"/>
        <v>0</v>
      </c>
      <c r="GL26" s="71" t="str">
        <f t="shared" si="47"/>
        <v>0</v>
      </c>
      <c r="GM26" s="71"/>
      <c r="GN26" s="71"/>
      <c r="GO26" s="71"/>
      <c r="GP26" s="71"/>
      <c r="GQ26" s="71"/>
      <c r="GR26" s="71"/>
      <c r="GS26" s="71"/>
      <c r="GT26" s="324"/>
      <c r="GU26" s="324"/>
      <c r="GV26" s="1065">
        <f t="shared" si="51"/>
      </c>
      <c r="GW26" s="1065">
        <f t="shared" si="52"/>
      </c>
      <c r="GX26" s="1065">
        <f t="shared" si="53"/>
      </c>
      <c r="GY26" s="1065">
        <f t="shared" si="54"/>
      </c>
      <c r="GZ26" s="393"/>
      <c r="HA26" s="324"/>
      <c r="HB26" s="672"/>
      <c r="HC26" s="259">
        <f t="shared" si="86"/>
      </c>
      <c r="HD26" s="260">
        <f t="shared" si="87"/>
      </c>
      <c r="HE26" s="259"/>
      <c r="HF26" s="260"/>
      <c r="HG26" s="345">
        <f t="shared" si="119"/>
      </c>
      <c r="HH26" s="345">
        <f t="shared" si="119"/>
      </c>
      <c r="HI26" s="345">
        <f t="shared" si="119"/>
      </c>
      <c r="HJ26" s="345">
        <f t="shared" si="119"/>
      </c>
      <c r="HK26" s="50">
        <f t="shared" si="104"/>
      </c>
      <c r="HL26" s="69">
        <f t="shared" si="56"/>
      </c>
      <c r="HM26" s="70">
        <f t="shared" si="57"/>
      </c>
      <c r="HO26" s="304"/>
      <c r="HP26" s="304"/>
      <c r="HQ26" s="71">
        <f t="shared" si="58"/>
        <v>0</v>
      </c>
      <c r="HR26" s="71" t="str">
        <f t="shared" si="59"/>
        <v>0</v>
      </c>
    </row>
    <row r="27" spans="1:226" ht="15" customHeight="1">
      <c r="A27" s="418">
        <f>IF(BD27="","",27)</f>
      </c>
      <c r="B27" s="886">
        <f>IF(OR(COUNTIF($BE$25:$BE$28,"")=4,$BE$25&amp;$BE$26&amp;$BE$27&amp;$BE$28&lt;&gt;$D27),"",27)</f>
      </c>
      <c r="C27" s="855">
        <f>IF(AND(A27="",B27="",C25="",C26="",COUNTIF($D$25:$D$27,"")=0,COUNT(H27:K27)=4),27,"")</f>
      </c>
      <c r="D27" s="337">
        <f>IF(Zulassung!D26="","",Zulassung!D26)</f>
      </c>
      <c r="E27" s="514">
        <f>IF(Zulassung!E26="","",Zulassung!E26)</f>
      </c>
      <c r="F27" s="515">
        <f>IF(Zulassung!F26="","",Zulassung!F26)</f>
      </c>
      <c r="G27" s="516">
        <f>IF(Zulassung!G26="","",Zulassung!G26)</f>
      </c>
      <c r="H27" s="550">
        <f>IF(Zulassung!H26="","",Zulassung!H26)</f>
      </c>
      <c r="I27" s="551">
        <f>IF(Zulassung!I26="","",Zulassung!I26)</f>
      </c>
      <c r="J27" s="551">
        <f>IF(Zulassung!J26="","",Zulassung!J26)</f>
      </c>
      <c r="K27" s="552">
        <f>IF(Zulassung!K26="","",Zulassung!K26)</f>
      </c>
      <c r="L27" s="370">
        <f t="shared" si="0"/>
      </c>
      <c r="O27" s="681"/>
      <c r="P27" s="255"/>
      <c r="Q27" s="1367">
        <f>IF(Zulassung!O26="","",Zulassung!O26)</f>
      </c>
      <c r="R27" s="1367"/>
      <c r="S27" s="305"/>
      <c r="T27" s="842">
        <f t="shared" si="60"/>
        <v>0</v>
      </c>
      <c r="U27" s="842" t="str">
        <f t="shared" si="2"/>
        <v>0</v>
      </c>
      <c r="V27" s="842">
        <f t="shared" si="3"/>
        <v>0</v>
      </c>
      <c r="W27" s="842">
        <f t="shared" si="4"/>
        <v>0</v>
      </c>
      <c r="Z27" s="842">
        <f t="shared" si="61"/>
      </c>
      <c r="AA27" s="842">
        <f>IF(OR(AND(G27="",MAX(H27:K27)&gt;0),AND(H27="",MAX(I27:K27)&gt;0),AND(I27="",MAX(J27:K27)&gt;0),AND(J27="",K27&lt;&gt;"")),1,0)</f>
        <v>0</v>
      </c>
      <c r="AB27" s="842">
        <f t="shared" si="94"/>
        <v>0</v>
      </c>
      <c r="AC27" s="842"/>
      <c r="AD27" s="842">
        <f>IF(D27="","",IF(OR($AB$25=4,$AB$26=4,$AB$27=4),"W","F"))</f>
      </c>
      <c r="AE27" s="842">
        <f>SUM(H27:K27)</f>
        <v>0</v>
      </c>
      <c r="AF27" s="842">
        <f>SUM(H27:I27)</f>
        <v>0</v>
      </c>
      <c r="AG27" s="842">
        <f>IF(AJ27&lt;&gt;"","",SUM(J27:K27))</f>
        <v>0</v>
      </c>
      <c r="AH27" s="842">
        <f t="shared" si="105"/>
      </c>
      <c r="AI27" s="842">
        <f>IF(AH27="","",COUNTIF(H27:K27,AH27))</f>
      </c>
      <c r="AJ27" s="289">
        <f t="shared" si="100"/>
      </c>
      <c r="AK27" s="842"/>
      <c r="AL27" s="255"/>
      <c r="AM27" s="842">
        <f>IF(AND(AB27=4,AB25&lt;4,AB26&lt;4),D27,IF(OR(AND($BF$36&lt;&gt;"",ISNA(MATCH($BF$36,$Z$25:$Z$28,0))=FALSE),AJ25&lt;&gt;"",AJ26&lt;&gt;""),"",IF(AND($AE27=MAX($AE$25:$AE$27),COUNTIF($AE$25:$AE$27,MAX($AE$25:$AE$27))=1),Z27,IF(AND($AE27=MAX($AE$25:$AE$27),COUNTIF($AE$25:$AE$27,MAX($AE$25:$AE$27))&gt;1,$AG27=MAX($AG$25:$AG$27)),Z27,""))))</f>
      </c>
      <c r="AN27" s="917">
        <f>IF(AND(MAX(AO27:BC27)&gt;0,MAX(AO27:BC27)=MAX($AO$25:$BC$27)),ROW(AO27),"")</f>
      </c>
      <c r="AO27" s="505">
        <f>IF(OR($AO$24="",VLOOKUP(AX24,$Z$11:$AJ$13,11,FALSE)&lt;&gt;"",VLOOKUP($BC$24,$Z$11:$AJ$13,11,FALSE)&lt;&gt;""),"",IF(OR($AB$27&lt;&gt;4,$AB$25&lt;&gt;4,$AB$11&lt;&gt;4,AND($Q$6&lt;&gt;"",$Q$27&lt;&gt;"S",VLOOKUP($AO$24,D10:R31,14,FALSE)&lt;&gt;"S",AJ27="",COUNTIF($AB$11:$AB$13,4)&lt;&gt;1)),"",SUM($AE$27,J25:K25)+$AE$11+MAX(H25:K25)))</f>
      </c>
      <c r="AP27" s="505">
        <f>IF(OR($AP$24="",VLOOKUP(AX24,$Z$11:$AJ$13,11,FALSE)&lt;&gt;"",VLOOKUP($BC$24,$Z$11:$AJ$13,11,FALSE)&lt;&gt;""),"",IF(OR($AB$27&lt;&gt;4,$AB$26&lt;&gt;4,$AB$11&lt;&gt;4,AND($Q$6&lt;&gt;"",$Q$27&lt;&gt;"S",VLOOKUP($AP$24,D10:R31,14,FALSE)&lt;&gt;"S",AJ27="",COUNTIF($AB$11:$AB$13,4)&lt;&gt;1)),"",SUM($AE$27,J26:K26)+$AE$11+MAX(H25:K25)))</f>
      </c>
      <c r="AQ27" s="965">
        <v>0</v>
      </c>
      <c r="AR27" s="505">
        <f>IF(OR($AR$24="",VLOOKUP(AX24,$Z$11:$AJ$13,11,FALSE)&lt;&gt;"",VLOOKUP($BC$24,$Z$11:$AJ$13,11,FALSE)&lt;&gt;""),"",IF(OR($AB$27&lt;&gt;4,$AB$28&lt;&gt;4,$AB$11&lt;&gt;4,AND($Q$6&lt;&gt;"",$Q$27&lt;&gt;"S",VLOOKUP($AR$24,D10:R31,14,FALSE)&lt;&gt;"S",AJ27="",COUNTIF($AB$11:$AB$13,4)&lt;&gt;1)),0,SUM($AE$27,J28:K28)+$AE$11))</f>
      </c>
      <c r="AS27" s="976"/>
      <c r="AT27" s="842">
        <f>IF(OR($AT$24="",VLOOKUP($AS$24,$Z$11:$AJ$13,11,FALSE)&lt;&gt;"",VLOOKUP($BC$24,$Z$11:$AJ$13,11,FALSE)&lt;&gt;""),"",IF(OR($AB$27&lt;&gt;4,$AB$25&lt;&gt;4,$AB$12&lt;&gt;4,AND($Q$6&lt;&gt;"",$Q$27&lt;&gt;"S",VLOOKUP($AO$24,D10:R31,14,FALSE)&lt;&gt;"S",AJ27="",COUNTIF($AB$11:$AB$13,4)&lt;&gt;1)),"",SUM($AE$27,J25:K25)+$AE$12+MAX(H25:K25)))</f>
      </c>
      <c r="AU27" s="842">
        <f>IF(OR($AU$24="",VLOOKUP($AS$24,$Z$11:$AJ$13,11,FALSE)&lt;&gt;"",VLOOKUP($BC$24,$Z$11:$AJ$13,11,FALSE)&lt;&gt;""),"",IF(OR($AB$27&lt;&gt;4,$AB$26&lt;&gt;4,$AB$12&lt;&gt;4,AND($Q$6&lt;&gt;"",$Q$27&lt;&gt;"S",VLOOKUP($AP$24,D10:R31,14,FALSE)&lt;&gt;"S",AJ27="",COUNTIF($AB$11:$AB$13,4)&lt;&gt;1)),"",SUM($AE$27,J26:K26)+$AE$12+MAX(H25:K25)))</f>
      </c>
      <c r="AV27" s="968">
        <v>0</v>
      </c>
      <c r="AW27" s="842">
        <f>IF(OR($AW$24="",VLOOKUP($AS$24,$Z$11:$AJ$13,11,FALSE)&lt;&gt;"",VLOOKUP($BC$24,$Z$11:$AJ$13,11,FALSE)&lt;&gt;""),"",IF(OR($AB$27&lt;&gt;4,$AB$28&lt;&gt;4,$AB$12&lt;&gt;4,AND($Q$6&lt;&gt;"",$Q$27&lt;&gt;"S",VLOOKUP($AR$24,D10:R31,14,FALSE)&lt;&gt;"S",AJ27="",COUNTIF($AB$11:$AB$13,4)&lt;&gt;1)),0,SUM($AE$27,J30:K30)+$AE$12))</f>
      </c>
      <c r="AX27" s="977"/>
      <c r="AY27" s="505">
        <f>IF(OR($AY$24="",VLOOKUP($AS$24,$Z$11:$AJ$13,11,FALSE)&lt;&gt;"",VLOOKUP(AX24,$Z$11:$AJ$13,11,FALSE)&lt;&gt;""),"",IF(OR($AB$27&lt;&gt;4,$AB$25&lt;&gt;4,$AB$13&lt;&gt;4,AND($Q$6&lt;&gt;"",$Q$27&lt;&gt;"S",VLOOKUP($AO$24,D10:R31,14,FALSE)&lt;&gt;"S",AJ27="",COUNTIF($AB$11:$AB$13,4)&lt;&gt;1)),"",SUM($AE$27,J25:K25)+$AE$13+MAX(H25:K25)))</f>
      </c>
      <c r="AZ27" s="505">
        <f>IF(OR($AZ$24="",VLOOKUP($AS$24,$Z$11:$AJ$13,11,FALSE)&lt;&gt;"",VLOOKUP(AX24,$Z$11:$AJ$13,11,FALSE)&lt;&gt;""),"",IF(OR($AB$27&lt;&gt;4,$AB$26&lt;&gt;4,$AB$13&lt;&gt;4,AND($Q$6&lt;&gt;"",$Q$27&lt;&gt;"S",VLOOKUP($AP$24,D10:R31,14,FALSE)&lt;&gt;"S",AJ27="",COUNTIF($AB$11:$AB$13,4)&lt;&gt;1)),"",SUM($AE$27,J26:K26)+$AE$13+MAX(H25:K25)))</f>
      </c>
      <c r="BA27" s="965">
        <v>0</v>
      </c>
      <c r="BB27" s="505">
        <f>IF(OR($BB$24="",VLOOKUP($AS$24,$Z$11:$AJ$13,11,FALSE)&lt;&gt;"",VLOOKUP(AX24,$Z$11:$AJ$13,11,FALSE)&lt;&gt;""),"",IF(OR($AB$27&lt;&gt;4,$AB$28&lt;&gt;4,$AB$13&lt;&gt;4,AND($Q$6&lt;&gt;"",$Q$27&lt;&gt;"S",VLOOKUP($AR$24,D10:R31,14,FALSE)&lt;&gt;"S",AJ27="",COUNTIF($AB$11:$AB$13,4)&lt;&gt;1)),0,SUM($AE$27,J28:K28)+$AE$13))</f>
      </c>
      <c r="BC27" s="976"/>
      <c r="BD27" s="842">
        <f ca="1">IF(OR(E27&lt;&gt;"",COUNTIF($D$25:$D$27,"")=2),Z27,IF(OR(BD25&lt;&gt;"",BD26&lt;&gt;"",AB27&lt;&gt;4,COUNTIF($E$25:$E$27,"")=2),"",IF(AND(MAX(AO27:BC27)=MAX($AO$25:$BC$27),COUNTIF($AO$25:$BC$27,MAX($AO$25:$BC$27))=1),Z27,IF(OR(AND(MAX(AO27:BC27)=MAX($AO$25:$BC$27),COUNTIF($AO$25:$BC$27,MAX($AO$25:$BC$27))&gt;1,MIN(H27:I27)&gt;=MIN(INDIRECT("H"&amp;AN25&amp;AN26&amp;":I"&amp;AN25&amp;AN26))),AND(MAX(AO27:BC27)=MAX($AO$25:$BC$27),COUNTIF($AO$25:$BC$27,MAX($AO$25:$BC$27))&gt;1,MIN(H27:I27)=MIN(INDIRECT("H"&amp;AN25&amp;AN26&amp;":I"&amp;AN25&amp;AN26)),COUNTIF($AI$25:$AI$27,MIN($AI$25:$AI$27)=1))),Z27,""))))</f>
      </c>
      <c r="BE27" s="842">
        <f ca="1">IF(OR(BD26="",COUNTIF(AJ11:AJ13,"")=1),"",IF(AND(COUNTA(D25:D27)=3,MAX(AO25:BC27)=0),INDIRECT("Z"&amp;MATCH(LARGE(AE25:AE27,2),AE25:AE27,0)+24),IF(OR(BD27="",MAX(AO27:BC27)=0,BE25&lt;&gt;"",BE26&lt;&gt;""),"",OFFSET($AO$24,0,MATCH(MAX(AO27:BC27),$AO$27:$BC$27,0)-1))))</f>
      </c>
      <c r="BF27" s="842">
        <f ca="1">IF(AND(COUNTIF($BF$11:$BF$13,"")=3,BE27&lt;&gt;""),BE27,IF(OR(BE27="",COUNTIF($AJ$11:$AJ$13,"")=1),"",IF(OR(MAX(AO27:BB27)&lt;MAX($AO$11:$BB$13),AND(MAX(AO27:BB27)=MAX($AO$11:$BB$13),INDIRECT("AH"&amp;MATCH($BE$29,$Z$25:$Z$28,0)+23)&lt;INDIRECT("AH"&amp;MATCH($BE$15,$Z$11:$Z$13,0)+10)),AND(MAX(AO27:BB27)=MAX($AO$11:$BB$13),INDIRECT("AH"&amp;MATCH($BE$29,$Z$25:$Z$28,0)+24)=INDIRECT("AH"&amp;MATCH($BE$15,$Z$11:$Z$13,0)+10),INDIRECT("AI"&amp;MATCH($BE$29,$Z$25:$Z$28,0)+24)&gt;INDIRECT("AI"&amp;MATCH($BE$15,$Z$11:$Z$13,0)+10))),"",IF(AND(OR(BE29&lt;&gt;"",BE28&lt;&gt;""),MIN(H27:I27)=MIN(H25:I28),COUNTIF(H25:I28,MIN(H25:I28))=1),"",BE27))))</f>
      </c>
      <c r="BG27" s="248">
        <f>IF(BE27="","",MAX(AO27:BC27))</f>
      </c>
      <c r="BH27" s="61"/>
      <c r="BI27" s="61"/>
      <c r="BJ27" s="61"/>
      <c r="BM27" s="842">
        <f t="shared" si="106"/>
      </c>
      <c r="BN27" s="842">
        <f t="shared" si="106"/>
      </c>
      <c r="BO27" s="842">
        <f t="shared" si="107"/>
      </c>
      <c r="BP27" s="842">
        <f t="shared" si="107"/>
      </c>
      <c r="BQ27" s="247">
        <f>IF(OR(E27=1,E27=2),SUM(H27:K27),0)</f>
        <v>0</v>
      </c>
      <c r="BR27" s="567">
        <f t="shared" si="5"/>
        <v>0</v>
      </c>
      <c r="BS27" s="567">
        <f t="shared" si="6"/>
        <v>0</v>
      </c>
      <c r="BT27" s="842">
        <f t="shared" si="108"/>
      </c>
      <c r="BU27" s="842">
        <f t="shared" si="108"/>
      </c>
      <c r="BV27" s="842">
        <f t="shared" si="108"/>
      </c>
      <c r="BW27" s="842">
        <f t="shared" si="108"/>
      </c>
      <c r="BX27" s="327"/>
      <c r="BY27" s="1072">
        <f t="shared" si="97"/>
      </c>
      <c r="BZ27" s="393"/>
      <c r="CA27" s="842">
        <f t="shared" si="9"/>
      </c>
      <c r="CB27" s="842">
        <f t="shared" si="10"/>
      </c>
      <c r="CC27" s="842">
        <f t="shared" si="11"/>
      </c>
      <c r="CD27" s="842">
        <f t="shared" si="12"/>
      </c>
      <c r="CE27" s="919"/>
      <c r="CF27" s="1033">
        <f t="shared" si="13"/>
      </c>
      <c r="CG27" s="1033">
        <f t="shared" si="14"/>
      </c>
      <c r="CH27" s="1033">
        <f t="shared" si="15"/>
      </c>
      <c r="CI27" s="1033">
        <f t="shared" si="16"/>
      </c>
      <c r="CJ27" s="393"/>
      <c r="CK27" s="919"/>
      <c r="CL27" s="393"/>
      <c r="CM27" s="684"/>
      <c r="CN27" s="672"/>
      <c r="CO27" s="259">
        <f t="shared" si="17"/>
      </c>
      <c r="CP27" s="260">
        <f t="shared" si="18"/>
      </c>
      <c r="CQ27" s="259"/>
      <c r="CR27" s="260"/>
      <c r="CS27" s="345">
        <f t="shared" si="109"/>
      </c>
      <c r="CT27" s="345">
        <f t="shared" si="109"/>
      </c>
      <c r="CU27" s="345">
        <f t="shared" si="109"/>
      </c>
      <c r="CV27" s="345">
        <f t="shared" si="109"/>
      </c>
      <c r="CW27" s="50">
        <f t="shared" si="101"/>
      </c>
      <c r="CX27" s="69">
        <f t="shared" si="20"/>
      </c>
      <c r="CY27" s="70">
        <f t="shared" si="21"/>
      </c>
      <c r="CZ27" s="39"/>
      <c r="DA27" s="305"/>
      <c r="DB27" s="305"/>
      <c r="DC27" s="305"/>
      <c r="DD27" s="33"/>
      <c r="DE27" s="71">
        <f t="shared" si="22"/>
        <v>0</v>
      </c>
      <c r="DF27" s="71" t="str">
        <f t="shared" si="23"/>
        <v>0</v>
      </c>
      <c r="DG27" s="393"/>
      <c r="DH27" s="393"/>
      <c r="DI27" s="919"/>
      <c r="DJ27" s="393"/>
      <c r="DK27" s="642">
        <f t="shared" si="110"/>
      </c>
      <c r="DL27" s="642">
        <f t="shared" si="111"/>
      </c>
      <c r="DM27" s="642">
        <f t="shared" si="112"/>
      </c>
      <c r="DN27" s="642">
        <f t="shared" si="113"/>
      </c>
      <c r="DO27" s="919"/>
      <c r="DP27" s="393"/>
      <c r="DQ27" s="684"/>
      <c r="DR27" s="672"/>
      <c r="DS27" s="259">
        <f t="shared" si="25"/>
      </c>
      <c r="DT27" s="260">
        <f t="shared" si="26"/>
      </c>
      <c r="DU27" s="259"/>
      <c r="DV27" s="260"/>
      <c r="DW27" s="345">
        <f t="shared" si="114"/>
      </c>
      <c r="DX27" s="345">
        <f t="shared" si="114"/>
      </c>
      <c r="DY27" s="345">
        <f t="shared" si="114"/>
      </c>
      <c r="DZ27" s="345">
        <f t="shared" si="114"/>
      </c>
      <c r="EA27" s="50">
        <f t="shared" si="102"/>
      </c>
      <c r="EB27" s="69">
        <f t="shared" si="28"/>
      </c>
      <c r="EC27" s="70">
        <f t="shared" si="29"/>
      </c>
      <c r="ED27" s="39"/>
      <c r="EE27" s="305"/>
      <c r="EF27" s="305"/>
      <c r="EG27" s="71">
        <f t="shared" si="30"/>
        <v>0</v>
      </c>
      <c r="EH27" s="71" t="str">
        <f t="shared" si="31"/>
        <v>0</v>
      </c>
      <c r="EI27" s="393"/>
      <c r="EJ27" s="393"/>
      <c r="EK27" s="393"/>
      <c r="EL27" s="393"/>
      <c r="EM27" s="1033">
        <v>3</v>
      </c>
      <c r="EN27" s="568"/>
      <c r="EO27" s="571">
        <f t="shared" si="115"/>
      </c>
      <c r="EP27" s="571">
        <f t="shared" si="115"/>
      </c>
      <c r="EQ27" s="571">
        <f t="shared" si="116"/>
      </c>
      <c r="ER27" s="571">
        <f t="shared" si="116"/>
      </c>
      <c r="ES27" s="391">
        <f t="shared" si="34"/>
        <v>0</v>
      </c>
      <c r="ET27" s="391"/>
      <c r="EU27" s="958">
        <f t="shared" si="117"/>
      </c>
      <c r="EV27" s="958">
        <f t="shared" si="117"/>
      </c>
      <c r="EW27" s="958">
        <f t="shared" si="117"/>
      </c>
      <c r="EX27" s="958">
        <f t="shared" si="117"/>
      </c>
      <c r="EY27" s="685"/>
      <c r="EZ27" s="579"/>
      <c r="FA27" s="962">
        <f t="shared" si="1"/>
        <v>0</v>
      </c>
      <c r="FB27" s="962">
        <f t="shared" si="36"/>
        <v>0</v>
      </c>
      <c r="FC27" s="960"/>
      <c r="FL27" s="842">
        <f t="shared" si="38"/>
      </c>
      <c r="FM27" s="842">
        <f t="shared" si="39"/>
      </c>
      <c r="FN27" s="842">
        <f t="shared" si="40"/>
      </c>
      <c r="FO27" s="842">
        <f t="shared" si="41"/>
      </c>
      <c r="FP27" s="255"/>
      <c r="FQ27" s="684"/>
      <c r="FR27" s="684"/>
      <c r="FS27" s="684"/>
      <c r="FT27" s="684"/>
      <c r="FU27" s="684"/>
      <c r="FV27" s="672"/>
      <c r="FW27" s="259">
        <f t="shared" si="79"/>
      </c>
      <c r="FX27" s="260">
        <f t="shared" si="80"/>
      </c>
      <c r="FY27" s="259"/>
      <c r="FZ27" s="260"/>
      <c r="GA27" s="345">
        <f t="shared" si="118"/>
      </c>
      <c r="GB27" s="345">
        <f t="shared" si="118"/>
      </c>
      <c r="GC27" s="345">
        <f t="shared" si="118"/>
      </c>
      <c r="GD27" s="345">
        <f t="shared" si="118"/>
      </c>
      <c r="GE27" s="50">
        <f t="shared" si="103"/>
      </c>
      <c r="GF27" s="69">
        <f t="shared" si="44"/>
      </c>
      <c r="GG27" s="70">
        <f t="shared" si="45"/>
      </c>
      <c r="GH27" s="39"/>
      <c r="GI27" s="305"/>
      <c r="GJ27" s="305"/>
      <c r="GK27" s="71">
        <f t="shared" si="46"/>
        <v>0</v>
      </c>
      <c r="GL27" s="71" t="str">
        <f t="shared" si="47"/>
        <v>0</v>
      </c>
      <c r="GM27" s="71"/>
      <c r="GN27" s="71"/>
      <c r="GO27" s="71"/>
      <c r="GP27" s="71"/>
      <c r="GQ27" s="71"/>
      <c r="GR27" s="71"/>
      <c r="GS27" s="71"/>
      <c r="GT27" s="324"/>
      <c r="GU27" s="324"/>
      <c r="GV27" s="1065">
        <f t="shared" si="51"/>
      </c>
      <c r="GW27" s="1065">
        <f t="shared" si="52"/>
      </c>
      <c r="GX27" s="1065">
        <f t="shared" si="53"/>
      </c>
      <c r="GY27" s="1065">
        <f t="shared" si="54"/>
      </c>
      <c r="GZ27" s="393"/>
      <c r="HA27" s="324"/>
      <c r="HB27" s="672"/>
      <c r="HC27" s="259">
        <f t="shared" si="86"/>
      </c>
      <c r="HD27" s="260">
        <f t="shared" si="87"/>
      </c>
      <c r="HE27" s="259"/>
      <c r="HF27" s="260"/>
      <c r="HG27" s="345">
        <f t="shared" si="119"/>
      </c>
      <c r="HH27" s="345">
        <f t="shared" si="119"/>
      </c>
      <c r="HI27" s="345">
        <f t="shared" si="119"/>
      </c>
      <c r="HJ27" s="345">
        <f t="shared" si="119"/>
      </c>
      <c r="HK27" s="50">
        <f t="shared" si="104"/>
      </c>
      <c r="HL27" s="69">
        <f t="shared" si="56"/>
      </c>
      <c r="HM27" s="70">
        <f t="shared" si="57"/>
      </c>
      <c r="HN27" s="39"/>
      <c r="HO27" s="305"/>
      <c r="HP27" s="305"/>
      <c r="HQ27" s="71">
        <f t="shared" si="58"/>
        <v>0</v>
      </c>
      <c r="HR27" s="71" t="str">
        <f t="shared" si="59"/>
        <v>0</v>
      </c>
    </row>
    <row r="28" spans="1:226" ht="15" customHeight="1">
      <c r="A28" s="416"/>
      <c r="B28" s="856">
        <f>IF(OR(COUNT($BE$25:$BE$28)=0,$BE$25&amp;$BE$26&amp;$BE$27&amp;$BE$28&lt;&gt;$D28),"",28)</f>
      </c>
      <c r="C28" s="895"/>
      <c r="D28" s="815">
        <f>IF(Zulassung!D27="","",Zulassung!D27)</f>
      </c>
      <c r="E28" s="816">
        <f>IF(Zulassung!E27="","",Zulassung!E27)</f>
      </c>
      <c r="F28" s="517">
        <f>IF(Zulassung!F27="","",Zulassung!F27)</f>
      </c>
      <c r="G28" s="518">
        <f>IF(Zulassung!G27="","",Zulassung!G27)</f>
      </c>
      <c r="H28" s="553">
        <f>IF(Zulassung!H27="","",Zulassung!H27)</f>
      </c>
      <c r="I28" s="554">
        <f>IF(Zulassung!I27="","",Zulassung!I27)</f>
      </c>
      <c r="J28" s="554">
        <f>IF(Zulassung!J27="","",Zulassung!J27)</f>
      </c>
      <c r="K28" s="555">
        <f>IF(Zulassung!K27="","",Zulassung!K27)</f>
      </c>
      <c r="L28" s="385">
        <f t="shared" si="0"/>
      </c>
      <c r="O28" s="681"/>
      <c r="P28" s="255"/>
      <c r="Q28" s="1367">
        <f>IF(Zulassung!O27="","",Zulassung!O27)</f>
      </c>
      <c r="R28" s="1367"/>
      <c r="S28" s="305"/>
      <c r="T28" s="842">
        <f t="shared" si="60"/>
        <v>0</v>
      </c>
      <c r="U28" s="842" t="str">
        <f t="shared" si="2"/>
        <v>0</v>
      </c>
      <c r="V28" s="842">
        <f t="shared" si="3"/>
        <v>0</v>
      </c>
      <c r="W28" s="842">
        <f t="shared" si="4"/>
        <v>0</v>
      </c>
      <c r="Y28" s="639" t="s">
        <v>499</v>
      </c>
      <c r="Z28" s="842">
        <f t="shared" si="61"/>
      </c>
      <c r="AA28" s="842">
        <f>IF(OR(AND(G28="",MAX(H28:K28)&gt;0),AND(H28="",MAX(I28:K28)&gt;0),AND(I28="",MAX(J28:K28)&gt;0),AND(J28="",K28&lt;&gt;"")),1,0)</f>
        <v>0</v>
      </c>
      <c r="AB28" s="842">
        <f t="shared" si="94"/>
        <v>0</v>
      </c>
      <c r="AC28" s="842"/>
      <c r="AD28" s="842">
        <f>IF(D28="","",IF(OR($AB$25=4,$AB$26=4,$AB$27=4,$AB$28=4),"W","F"))</f>
      </c>
      <c r="AE28" s="842">
        <f>SUM(H28:K28)</f>
        <v>0</v>
      </c>
      <c r="AF28" s="842">
        <f>SUM(H28:I28)</f>
        <v>0</v>
      </c>
      <c r="AG28" s="842">
        <f>IF(AJ28&lt;&gt;"","",SUM(J28:K28))</f>
        <v>0</v>
      </c>
      <c r="AH28" s="842">
        <f t="shared" si="105"/>
      </c>
      <c r="AI28" s="842">
        <f>IF(AH28="","",COUNTIF(H28:K28,AH28))</f>
      </c>
      <c r="AJ28" s="289">
        <f t="shared" si="100"/>
      </c>
      <c r="AK28" s="842">
        <f>IF(AND(COUNTBLANK($AJ$25:$AJ$28)&gt;2,AJ28="",AB28=4),Z28,"")</f>
      </c>
      <c r="AL28" s="275"/>
      <c r="AM28" s="842"/>
      <c r="AN28" s="275"/>
      <c r="AO28" s="505">
        <v>0</v>
      </c>
      <c r="AP28" s="505">
        <v>0</v>
      </c>
      <c r="AQ28" s="505">
        <v>0</v>
      </c>
      <c r="AR28" s="965">
        <v>0</v>
      </c>
      <c r="AS28" s="976">
        <v>0</v>
      </c>
      <c r="AT28" s="842">
        <v>0</v>
      </c>
      <c r="AU28" s="842">
        <v>0</v>
      </c>
      <c r="AV28" s="842">
        <v>0</v>
      </c>
      <c r="AW28" s="968">
        <v>0</v>
      </c>
      <c r="AX28" s="977">
        <v>0</v>
      </c>
      <c r="AY28" s="505">
        <v>0</v>
      </c>
      <c r="AZ28" s="505">
        <v>0</v>
      </c>
      <c r="BA28" s="505">
        <v>0</v>
      </c>
      <c r="BB28" s="965">
        <v>0</v>
      </c>
      <c r="BC28" s="976">
        <v>0</v>
      </c>
      <c r="BD28" s="842"/>
      <c r="BE28" s="842">
        <f ca="1">IF(OR(BD27="",COUNTIF(AJ11:AJ13,"")=1),"",IF(AND(COUNTA(D25:D27)=3,MAX(AO25:BC27)=0),INDIRECT("Z"&amp;MATCH(LARGE(AE25:AE27,2),AE25:AE27,0)+24),IF(OR(BD27="",MAX(AO27:BC27)=0,BE25&lt;&gt;"",BE26&lt;&gt;""),"",OFFSET($AO$24,0,MATCH(MAX(AO27:BC27),$AO$27:$BC$27,0)-1))))</f>
      </c>
      <c r="BF28" s="842">
        <f ca="1">IF(AND(COUNTIF($BF$11:$BF$13,"")=3,BE28&lt;&gt;""),BE28,IF(OR(BE28="",COUNTIF($E$11:$E$13,"")=1),"",IF(OR(MAX(AO28:BB28)&lt;MAX($AO$11:$BB$13),AND(MAX(AO28:BB28)=MAX($AO$11:$BB$13),INDIRECT("AH"&amp;MATCH($BE$29,$Z$25:$Z$28,0)+23)&lt;INDIRECT("AH"&amp;MATCH($BE$15,$Z$11:$Z$13,0)+10)),AND(MAX(AO28:BB28)=MAX($AO$11:$BB$13),INDIRECT("AH"&amp;MATCH($BE$29,$Z$25:$Z$28,0)+24)=INDIRECT("AH"&amp;MATCH($BE$15,$Z$11:$Z$13,0)+10),INDIRECT("AI"&amp;MATCH($BE$29,$Z$25:$Z$28,0)+24)&gt;INDIRECT("AI"&amp;MATCH($BE$15,$Z$11:$Z$13,0)+10))),"",IF(AND(OR(BE30&lt;&gt;"",BE29&lt;&gt;""),MIN(H28:I28)=MIN(H25:I28),COUNTIF(H25:I28,MIN(H25:I28))=1),"",BE28))))</f>
      </c>
      <c r="BG28" s="275" t="s">
        <v>219</v>
      </c>
      <c r="BH28" s="277"/>
      <c r="BI28" s="277"/>
      <c r="BJ28" s="277"/>
      <c r="BK28" s="275"/>
      <c r="BL28" s="275"/>
      <c r="BM28" s="846">
        <f>IF(E28&lt;&gt;"",H28,"")</f>
      </c>
      <c r="BN28" s="846">
        <f>IF(E28&lt;&gt;"",I28,"")</f>
      </c>
      <c r="BO28" s="846">
        <f t="shared" si="107"/>
      </c>
      <c r="BP28" s="846">
        <f t="shared" si="107"/>
      </c>
      <c r="BQ28" s="274">
        <f>IF(B28&lt;&gt;"",SUM(H28:K28),0)</f>
        <v>0</v>
      </c>
      <c r="BR28" s="567">
        <f t="shared" si="5"/>
        <v>0</v>
      </c>
      <c r="BS28" s="567">
        <f t="shared" si="6"/>
        <v>0</v>
      </c>
      <c r="BT28" s="846">
        <f t="shared" si="108"/>
      </c>
      <c r="BU28" s="846">
        <f t="shared" si="108"/>
      </c>
      <c r="BV28" s="846">
        <f t="shared" si="108"/>
      </c>
      <c r="BW28" s="846">
        <f t="shared" si="108"/>
      </c>
      <c r="BX28" s="329"/>
      <c r="BY28" s="1072">
        <f t="shared" si="97"/>
      </c>
      <c r="BZ28" s="393"/>
      <c r="CA28" s="842">
        <f t="shared" si="9"/>
      </c>
      <c r="CB28" s="842">
        <f t="shared" si="10"/>
      </c>
      <c r="CC28" s="842">
        <f t="shared" si="11"/>
      </c>
      <c r="CD28" s="842">
        <f t="shared" si="12"/>
      </c>
      <c r="CE28" s="919"/>
      <c r="CF28" s="1033">
        <f t="shared" si="13"/>
      </c>
      <c r="CG28" s="1033">
        <f t="shared" si="14"/>
      </c>
      <c r="CH28" s="1033">
        <f t="shared" si="15"/>
      </c>
      <c r="CI28" s="1033">
        <f t="shared" si="16"/>
      </c>
      <c r="CJ28" s="393"/>
      <c r="CK28" s="919"/>
      <c r="CL28" s="393"/>
      <c r="CM28" s="684"/>
      <c r="CN28" s="672"/>
      <c r="CO28" s="261">
        <f t="shared" si="17"/>
      </c>
      <c r="CP28" s="262">
        <f t="shared" si="18"/>
      </c>
      <c r="CQ28" s="261"/>
      <c r="CR28" s="262"/>
      <c r="CS28" s="346">
        <f t="shared" si="109"/>
      </c>
      <c r="CT28" s="347">
        <f t="shared" si="109"/>
      </c>
      <c r="CU28" s="347">
        <f t="shared" si="109"/>
      </c>
      <c r="CV28" s="347">
        <f t="shared" si="109"/>
      </c>
      <c r="CW28" s="565">
        <f t="shared" si="101"/>
      </c>
      <c r="CX28" s="420">
        <f t="shared" si="20"/>
      </c>
      <c r="CY28" s="494">
        <f t="shared" si="21"/>
      </c>
      <c r="CZ28" s="39"/>
      <c r="DA28" s="33"/>
      <c r="DB28" s="33"/>
      <c r="DC28" s="33"/>
      <c r="DD28" s="33"/>
      <c r="DE28" s="71">
        <f t="shared" si="22"/>
        <v>0</v>
      </c>
      <c r="DF28" s="71" t="str">
        <f t="shared" si="23"/>
        <v>0</v>
      </c>
      <c r="DG28" s="393"/>
      <c r="DH28" s="393"/>
      <c r="DI28" s="919"/>
      <c r="DJ28" s="393"/>
      <c r="DK28" s="648">
        <f t="shared" si="110"/>
      </c>
      <c r="DL28" s="648">
        <f t="shared" si="111"/>
      </c>
      <c r="DM28" s="648">
        <f t="shared" si="112"/>
      </c>
      <c r="DN28" s="648">
        <f t="shared" si="113"/>
      </c>
      <c r="DO28" s="919"/>
      <c r="DP28" s="393"/>
      <c r="DQ28" s="684"/>
      <c r="DR28" s="672"/>
      <c r="DS28" s="261">
        <f t="shared" si="25"/>
      </c>
      <c r="DT28" s="262">
        <f t="shared" si="26"/>
      </c>
      <c r="DU28" s="261"/>
      <c r="DV28" s="262"/>
      <c r="DW28" s="346">
        <f t="shared" si="114"/>
      </c>
      <c r="DX28" s="347">
        <f t="shared" si="114"/>
      </c>
      <c r="DY28" s="347">
        <f t="shared" si="114"/>
      </c>
      <c r="DZ28" s="347">
        <f t="shared" si="114"/>
      </c>
      <c r="EA28" s="565">
        <f t="shared" si="102"/>
      </c>
      <c r="EB28" s="420">
        <f t="shared" si="28"/>
      </c>
      <c r="EC28" s="494">
        <f t="shared" si="29"/>
      </c>
      <c r="ED28" s="39"/>
      <c r="EE28" s="33"/>
      <c r="EF28" s="33"/>
      <c r="EG28" s="71">
        <f t="shared" si="30"/>
        <v>0</v>
      </c>
      <c r="EH28" s="71" t="str">
        <f t="shared" si="31"/>
        <v>0</v>
      </c>
      <c r="EI28" s="393"/>
      <c r="EJ28" s="393"/>
      <c r="EK28" s="393"/>
      <c r="EL28" s="393"/>
      <c r="EM28" s="393"/>
      <c r="EN28" s="568"/>
      <c r="EO28" s="955">
        <f aca="true" t="shared" si="120" ref="EO28:ER30">BM28</f>
      </c>
      <c r="EP28" s="956">
        <f t="shared" si="120"/>
      </c>
      <c r="EQ28" s="956">
        <f t="shared" si="120"/>
      </c>
      <c r="ER28" s="957">
        <f t="shared" si="120"/>
      </c>
      <c r="ES28" s="391">
        <f t="shared" si="34"/>
        <v>0</v>
      </c>
      <c r="ET28" s="391"/>
      <c r="EU28" s="578">
        <f t="shared" si="117"/>
      </c>
      <c r="EV28" s="578">
        <f t="shared" si="117"/>
      </c>
      <c r="EW28" s="578">
        <f t="shared" si="117"/>
      </c>
      <c r="EX28" s="578">
        <f t="shared" si="117"/>
      </c>
      <c r="EY28" s="685"/>
      <c r="EZ28" s="579"/>
      <c r="FA28" s="962">
        <f t="shared" si="1"/>
        <v>0</v>
      </c>
      <c r="FB28" s="962">
        <f t="shared" si="36"/>
        <v>0</v>
      </c>
      <c r="FC28" s="684"/>
      <c r="FL28" s="842">
        <f t="shared" si="38"/>
      </c>
      <c r="FM28" s="842">
        <f t="shared" si="39"/>
      </c>
      <c r="FN28" s="842">
        <f t="shared" si="40"/>
      </c>
      <c r="FO28" s="842">
        <f t="shared" si="41"/>
      </c>
      <c r="FP28" s="255"/>
      <c r="FQ28" s="684"/>
      <c r="FR28" s="684"/>
      <c r="FS28" s="684"/>
      <c r="FT28" s="684"/>
      <c r="FU28" s="684"/>
      <c r="FV28" s="672"/>
      <c r="FW28" s="261">
        <f t="shared" si="79"/>
      </c>
      <c r="FX28" s="262">
        <f t="shared" si="80"/>
      </c>
      <c r="FY28" s="261"/>
      <c r="FZ28" s="262"/>
      <c r="GA28" s="346">
        <f>IF($EE$41&lt;8,$CS28,IF($EE$41=8,$DW28,IF($EO28&lt;&gt;"",$EO28,IF(FL28&lt;&gt;"",FL28,IF($H28="","","("&amp;$H28&amp;")")))))</f>
      </c>
      <c r="GB28" s="347">
        <f>IF($EE$41&lt;8,$CT28,IF($EE$41=8,$DX28,IF($EP28&lt;&gt;"",$EP28,IF(FM28&lt;&gt;"",FM28,IF($I28="","","("&amp;$I28&amp;")")))))</f>
      </c>
      <c r="GC28" s="347">
        <f>IF($EE$41&lt;8,$CU28,IF($EE$41=8,$DY28,IF($EQ28&lt;&gt;"",$EQ28,IF(FN28&lt;&gt;"",FN28,IF($J28="","","("&amp;$J28&amp;")")))))</f>
      </c>
      <c r="GD28" s="347">
        <f>IF($EE$41&lt;8,$CV28,IF($EE$41=8,$DZ28,IF($ER28&lt;&gt;"",$ER28,IF(FO28&lt;&gt;"",FO28,IF($K28="","","("&amp;$K28&amp;")")))))</f>
      </c>
      <c r="GE28" s="565">
        <f t="shared" si="103"/>
      </c>
      <c r="GF28" s="420">
        <f t="shared" si="44"/>
      </c>
      <c r="GG28" s="494">
        <f t="shared" si="45"/>
      </c>
      <c r="GH28" s="39"/>
      <c r="GJ28" s="33"/>
      <c r="GK28" s="71">
        <f t="shared" si="46"/>
        <v>0</v>
      </c>
      <c r="GL28" s="71" t="str">
        <f t="shared" si="47"/>
        <v>0</v>
      </c>
      <c r="GM28" s="71"/>
      <c r="GN28" s="71"/>
      <c r="GO28" s="71"/>
      <c r="GP28" s="71"/>
      <c r="GQ28" s="1063"/>
      <c r="GR28" s="71"/>
      <c r="GS28" s="71"/>
      <c r="GT28" s="324"/>
      <c r="GU28" s="324"/>
      <c r="GV28" s="1065">
        <f t="shared" si="51"/>
      </c>
      <c r="GW28" s="1065">
        <f t="shared" si="52"/>
      </c>
      <c r="GX28" s="1065">
        <f t="shared" si="53"/>
      </c>
      <c r="GY28" s="1065">
        <f t="shared" si="54"/>
      </c>
      <c r="GZ28" s="393"/>
      <c r="HA28" s="324"/>
      <c r="HB28" s="672"/>
      <c r="HC28" s="261">
        <f t="shared" si="86"/>
      </c>
      <c r="HD28" s="262">
        <f t="shared" si="87"/>
      </c>
      <c r="HE28" s="261"/>
      <c r="HF28" s="262"/>
      <c r="HG28" s="347">
        <f>IF($EE$41&lt;8,$CS28,IF($EE$41=8,$DW28,IF($EO28&lt;&gt;"",$EO28,IF($GV28&lt;&gt;"",$GV28,IF($H28="","","("&amp;$H28&amp;")")))))</f>
      </c>
      <c r="HH28" s="347">
        <f>IF($EE$41&lt;8,$CT28,IF($EE$41=8,$DX28,IF($EP28&lt;&gt;"",$EP28,IF($GW28&lt;&gt;"",$GW28,IF($I28="","","("&amp;$I28&amp;")")))))</f>
      </c>
      <c r="HI28" s="347">
        <f>IF($EE$41&lt;8,$CU28,IF($EE$41=8,$DY28,IF($EQ28&lt;&gt;"",$EQ28,IF($GX28&lt;&gt;"",$GX28,IF($J28="","","("&amp;$J28&amp;")")))))</f>
      </c>
      <c r="HJ28" s="347">
        <f>IF($EE$41&lt;8,$CV28,IF($EE$41=8,$DZ28,IF($ER28&lt;&gt;"",$ER28,IF($GY28&lt;&gt;"",$GY28,IF($K28="","","("&amp;$K28&amp;")")))))</f>
      </c>
      <c r="HK28" s="565">
        <f t="shared" si="104"/>
      </c>
      <c r="HL28" s="420">
        <f t="shared" si="56"/>
      </c>
      <c r="HM28" s="494">
        <f t="shared" si="57"/>
      </c>
      <c r="HN28" s="39"/>
      <c r="HQ28" s="71">
        <f t="shared" si="58"/>
        <v>0</v>
      </c>
      <c r="HR28" s="71" t="str">
        <f t="shared" si="59"/>
        <v>0</v>
      </c>
    </row>
    <row r="29" spans="1:226" ht="15" customHeight="1">
      <c r="A29" s="418" t="e">
        <f>VALUE(A25&amp;A26&amp;A27)</f>
        <v>#VALUE!</v>
      </c>
      <c r="B29" s="887">
        <f>IF(COUNT(B25:B28)=0,"",VALUE(B25&amp;B26&amp;B27&amp;B28))</f>
      </c>
      <c r="C29" s="896">
        <f>IF(COUNT(C25:C28)=0,"",VALUE(C25&amp;C26&amp;C27&amp;C28))</f>
      </c>
      <c r="D29" s="337" t="str">
        <f>IF(Zulassung!D28="","",Zulassung!D28)</f>
        <v>KR</v>
      </c>
      <c r="E29" s="514">
        <f>IF(Zulassung!E28="","",Zulassung!E28)</f>
      </c>
      <c r="F29" s="515">
        <f>IF(Zulassung!F28="","",Zulassung!F28)</f>
        <v>3</v>
      </c>
      <c r="G29" s="516">
        <f>IF(Zulassung!G28="","",Zulassung!G28)</f>
        <v>3</v>
      </c>
      <c r="H29" s="827">
        <f>IF(Zulassung!H28="","",Zulassung!H28)</f>
      </c>
      <c r="I29" s="556">
        <f>IF(Zulassung!I28="","",Zulassung!I28)</f>
      </c>
      <c r="J29" s="556">
        <f>IF(Zulassung!J28="","",Zulassung!J28)</f>
      </c>
      <c r="K29" s="557">
        <f>IF(Zulassung!K28="","",Zulassung!K28)</f>
      </c>
      <c r="L29" s="371">
        <f t="shared" si="0"/>
        <v>0</v>
      </c>
      <c r="O29" s="681"/>
      <c r="P29" s="255"/>
      <c r="Q29" s="306"/>
      <c r="R29" s="306"/>
      <c r="S29" s="306"/>
      <c r="T29" s="842">
        <f t="shared" si="60"/>
        <v>0</v>
      </c>
      <c r="U29" s="842" t="str">
        <f t="shared" si="2"/>
        <v>0</v>
      </c>
      <c r="V29" s="842">
        <f t="shared" si="3"/>
        <v>0</v>
      </c>
      <c r="W29" s="842">
        <f t="shared" si="4"/>
        <v>0</v>
      </c>
      <c r="Y29" s="639">
        <f>IF(OR(E29="",RIGHT(Z29,1)="R"),"",IF(AND(Z29="PL",E29&lt;&gt;"",OR(AND(COUNTIF($E$18:$E$20,"")=3,SUM($AB$18:$AB$23)+$AB$30&gt;=6),AND(COUNTIF($E$18:$E$20,"")=2,OR(ISNA(VLOOKUP("GE",$D$18:$E$20,2,FALSE))=FALSE,ISNA(VLOOKUP("SW",$D$18:$E$20,2,FALSE))=FALSE),SUM($AB$18:$AB$23)+$AB$30&gt;=8),AND(COUNTIF($E$18:$E$20,"")=2,OR(ISNA(VLOOKUP("GE",$D$18:$E$20,2,FALSE))=TRUE,ISNA(VLOOKUP("SW",$D$18:$E$20,2,FALSE))=TRUE),SUM($AB$18:$AB$23)+$AB$30&gt;=10))),"W","F"))</f>
      </c>
      <c r="Z29" s="842" t="str">
        <f t="shared" si="61"/>
        <v>KR</v>
      </c>
      <c r="AA29" s="512"/>
      <c r="AB29" s="842">
        <f t="shared" si="94"/>
        <v>0</v>
      </c>
      <c r="AC29" s="842">
        <v>2</v>
      </c>
      <c r="AD29" s="842" t="str">
        <f>IF(Z29="","",IF(COUNT(H29:I30)&gt;=2,"W",IF(ISNA(VLOOKUP("PL",Z18:AC21,3,FALSE))=TRUE,"F",IF(VLOOKUP("PL",Z18:AC21,3,FALSE)+COUNT(H29:I30)&gt;=2,"W","F"))))</f>
        <v>F</v>
      </c>
      <c r="AE29" s="507"/>
      <c r="AF29" s="507"/>
      <c r="AG29" s="507"/>
      <c r="AH29" s="842">
        <f t="shared" si="105"/>
      </c>
      <c r="AI29" s="508"/>
      <c r="AJ29" s="289">
        <f t="shared" si="100"/>
      </c>
      <c r="AK29" s="509"/>
      <c r="AL29" s="507"/>
      <c r="AM29" s="1113">
        <f>IF(OR(AND(Z29="PL",E29&lt;&gt;""),AND(Z30="PL",E30&lt;&gt;"")),"PL","")</f>
      </c>
      <c r="AN29" s="510"/>
      <c r="AO29" s="509"/>
      <c r="AP29" s="509"/>
      <c r="AQ29" s="509"/>
      <c r="AR29" s="509"/>
      <c r="AS29" s="509"/>
      <c r="AT29" s="509"/>
      <c r="AU29" s="509"/>
      <c r="AV29" s="509"/>
      <c r="AW29" s="509"/>
      <c r="AX29" s="509"/>
      <c r="AY29" s="509"/>
      <c r="AZ29" s="509"/>
      <c r="BA29" s="509"/>
      <c r="BB29" s="509"/>
      <c r="BC29" s="509"/>
      <c r="BD29" s="842" t="s">
        <v>279</v>
      </c>
      <c r="BE29" s="842">
        <f>IF(COUNT(BE25:BE28)=1,TRIM(BE25&amp;BE26&amp;BE27&amp;BE28),IF(BE25&lt;&gt;"",BE25,IF(BE26&lt;&gt;"",BE26,IF(BE27&lt;&gt;"",BE27,IF(BE28&lt;&gt;"",BE28,"")))))</f>
      </c>
      <c r="BF29" s="1115" t="str">
        <f>IF(BF32=28,"R","")</f>
        <v>R</v>
      </c>
      <c r="BG29" s="842">
        <f>IF(BH29="","",MATCH(BH29,H29:K29,0))</f>
      </c>
      <c r="BH29" s="1114">
        <f>IF(MAX(H29:K29)=0,"",MAX(H29:K29))</f>
      </c>
      <c r="BI29" s="842">
        <f>IF(OR(BJ29="",BJ29=0),"",IF(AND(MATCH(BJ29,H29:K29,0)=BG29,BG29&lt;&gt;2),MATCH(BJ29,H29:K29,1),IF(AND(MATCH(BJ29,H29:K29,0)=BG29,BG29=2),MATCH(BJ29,J29:K29,1)+2,MATCH(BJ29,H29:K29,0))))</f>
      </c>
      <c r="BJ29" s="247">
        <f>IF(BG29=1,MAX(I29:K29),IF(BG29=2,MAX(H29,J29,K29),IF(BG29=3,MAX(H29,I29,K29),IF(BG29=4,MAX(H29:J29),""))))</f>
      </c>
      <c r="BM29" s="842" t="e">
        <f>IF(OR($AJ29&lt;&gt;"",$BJ33="H29",$BJ34="H29"),H29,"")</f>
        <v>#NUM!</v>
      </c>
      <c r="BN29" s="842" t="e">
        <f>IF(OR($AJ29&lt;&gt;"",$BJ33="I29",$BJ34="I29"),I29,"")</f>
        <v>#NUM!</v>
      </c>
      <c r="BO29" s="842" t="e">
        <f>IF(OR($AJ29&lt;&gt;"",$BJ33="J29",$BJ34="J29"),J29,"")</f>
        <v>#NUM!</v>
      </c>
      <c r="BP29" s="842" t="e">
        <f>IF(OR($AJ29&lt;&gt;"",$BJ33="K29",$BJ34="K29"),K29,"")</f>
        <v>#NUM!</v>
      </c>
      <c r="BQ29" s="247">
        <f>IF(OR(E29=1,E29=2),SUM(H29:K29),0)</f>
        <v>0</v>
      </c>
      <c r="BR29" s="567">
        <f t="shared" si="5"/>
        <v>0</v>
      </c>
      <c r="BS29" s="567">
        <f t="shared" si="6"/>
        <v>0</v>
      </c>
      <c r="BT29" s="842" t="e">
        <f t="shared" si="108"/>
        <v>#NUM!</v>
      </c>
      <c r="BU29" s="842" t="e">
        <f t="shared" si="108"/>
        <v>#NUM!</v>
      </c>
      <c r="BV29" s="842" t="e">
        <f t="shared" si="108"/>
        <v>#NUM!</v>
      </c>
      <c r="BW29" s="842" t="e">
        <f t="shared" si="108"/>
        <v>#NUM!</v>
      </c>
      <c r="BX29" s="649"/>
      <c r="BY29" s="1072">
        <f t="shared" si="97"/>
      </c>
      <c r="BZ29" s="393"/>
      <c r="CA29" s="842">
        <f t="shared" si="9"/>
      </c>
      <c r="CB29" s="842">
        <f t="shared" si="10"/>
      </c>
      <c r="CC29" s="842">
        <f t="shared" si="11"/>
      </c>
      <c r="CD29" s="842">
        <f t="shared" si="12"/>
      </c>
      <c r="CE29" s="919"/>
      <c r="CF29" s="1033">
        <f t="shared" si="13"/>
      </c>
      <c r="CG29" s="1033">
        <f t="shared" si="14"/>
      </c>
      <c r="CH29" s="1033">
        <f t="shared" si="15"/>
      </c>
      <c r="CI29" s="1033">
        <f t="shared" si="16"/>
      </c>
      <c r="CJ29" s="393"/>
      <c r="CK29" s="919"/>
      <c r="CL29" s="393"/>
      <c r="CM29" s="684"/>
      <c r="CN29" s="672"/>
      <c r="CO29" s="489" t="str">
        <f t="shared" si="17"/>
        <v>KR</v>
      </c>
      <c r="CP29" s="493">
        <f t="shared" si="18"/>
      </c>
      <c r="CQ29" s="489"/>
      <c r="CR29" s="493"/>
      <c r="CS29" s="345">
        <f t="shared" si="109"/>
      </c>
      <c r="CT29" s="345">
        <f t="shared" si="109"/>
      </c>
      <c r="CU29" s="345">
        <f t="shared" si="109"/>
      </c>
      <c r="CV29" s="345">
        <f t="shared" si="109"/>
      </c>
      <c r="CW29" s="257">
        <f t="shared" si="101"/>
        <v>0</v>
      </c>
      <c r="CX29" s="69">
        <f t="shared" si="20"/>
        <v>0</v>
      </c>
      <c r="CY29" s="70">
        <f t="shared" si="21"/>
      </c>
      <c r="CZ29" s="39"/>
      <c r="DA29" s="801"/>
      <c r="DB29" s="801"/>
      <c r="DC29" s="801"/>
      <c r="DD29" s="801"/>
      <c r="DE29" s="71">
        <f t="shared" si="22"/>
        <v>0</v>
      </c>
      <c r="DF29" s="71" t="str">
        <f t="shared" si="23"/>
        <v>0</v>
      </c>
      <c r="DG29" s="393"/>
      <c r="DH29" s="393"/>
      <c r="DI29" s="919"/>
      <c r="DJ29" s="393"/>
      <c r="DK29" s="642">
        <f t="shared" si="110"/>
      </c>
      <c r="DL29" s="642">
        <f t="shared" si="111"/>
      </c>
      <c r="DM29" s="642">
        <f t="shared" si="112"/>
      </c>
      <c r="DN29" s="642">
        <f t="shared" si="113"/>
      </c>
      <c r="DO29" s="919"/>
      <c r="DP29" s="393"/>
      <c r="DQ29" s="684"/>
      <c r="DR29" s="672"/>
      <c r="DS29" s="489" t="str">
        <f t="shared" si="25"/>
        <v>KR</v>
      </c>
      <c r="DT29" s="493">
        <f t="shared" si="26"/>
      </c>
      <c r="DU29" s="489"/>
      <c r="DV29" s="493"/>
      <c r="DW29" s="345">
        <f t="shared" si="114"/>
      </c>
      <c r="DX29" s="345">
        <f t="shared" si="114"/>
      </c>
      <c r="DY29" s="345">
        <f t="shared" si="114"/>
      </c>
      <c r="DZ29" s="345">
        <f t="shared" si="114"/>
      </c>
      <c r="EA29" s="257">
        <f t="shared" si="102"/>
        <v>0</v>
      </c>
      <c r="EB29" s="69">
        <f t="shared" si="28"/>
        <v>0</v>
      </c>
      <c r="EC29" s="70">
        <f t="shared" si="29"/>
      </c>
      <c r="ED29" s="39"/>
      <c r="EE29" s="801"/>
      <c r="EF29" s="801"/>
      <c r="EG29" s="71">
        <f t="shared" si="30"/>
        <v>0</v>
      </c>
      <c r="EH29" s="71" t="str">
        <f t="shared" si="31"/>
        <v>0</v>
      </c>
      <c r="EI29" s="393"/>
      <c r="EJ29" s="393"/>
      <c r="EK29" s="393"/>
      <c r="EL29" s="393"/>
      <c r="EM29" s="393"/>
      <c r="EN29" s="568" t="s">
        <v>72</v>
      </c>
      <c r="EO29" s="948" t="e">
        <f t="shared" si="120"/>
        <v>#NUM!</v>
      </c>
      <c r="EP29" s="938" t="e">
        <f t="shared" si="120"/>
        <v>#NUM!</v>
      </c>
      <c r="EQ29" s="938" t="e">
        <f t="shared" si="120"/>
        <v>#NUM!</v>
      </c>
      <c r="ER29" s="949" t="e">
        <f t="shared" si="120"/>
        <v>#NUM!</v>
      </c>
      <c r="ES29" s="391">
        <f t="shared" si="34"/>
        <v>0</v>
      </c>
      <c r="ET29" s="391"/>
      <c r="EU29" s="958" t="e">
        <f t="shared" si="117"/>
        <v>#NUM!</v>
      </c>
      <c r="EV29" s="958" t="e">
        <f t="shared" si="117"/>
        <v>#NUM!</v>
      </c>
      <c r="EW29" s="958" t="e">
        <f t="shared" si="117"/>
        <v>#NUM!</v>
      </c>
      <c r="EX29" s="958" t="e">
        <f t="shared" si="117"/>
        <v>#NUM!</v>
      </c>
      <c r="EY29" s="685"/>
      <c r="EZ29" s="579"/>
      <c r="FA29" s="962">
        <f t="shared" si="1"/>
        <v>0</v>
      </c>
      <c r="FB29" s="962">
        <f t="shared" si="36"/>
        <v>0</v>
      </c>
      <c r="FC29" s="684"/>
      <c r="FL29" s="842">
        <f t="shared" si="38"/>
      </c>
      <c r="FM29" s="842">
        <f t="shared" si="39"/>
      </c>
      <c r="FN29" s="842">
        <f t="shared" si="40"/>
      </c>
      <c r="FO29" s="842">
        <f t="shared" si="41"/>
      </c>
      <c r="FP29" s="255"/>
      <c r="FQ29" s="684"/>
      <c r="FR29" s="684"/>
      <c r="FS29" s="684"/>
      <c r="FT29" s="684"/>
      <c r="FU29" s="684"/>
      <c r="FV29" s="672"/>
      <c r="FW29" s="259" t="str">
        <f t="shared" si="79"/>
        <v>KR</v>
      </c>
      <c r="FX29" s="260">
        <f t="shared" si="80"/>
      </c>
      <c r="FY29" s="489"/>
      <c r="FZ29" s="493"/>
      <c r="GA29" s="345">
        <f>IF($EE$41&lt;8,$CS29,IF($EE$41=8,$DW29,IF($EO29&lt;&gt;"",$EO29,IF(FL29&lt;&gt;"",FL29,IF($H29="","","("&amp;$H29&amp;")")))))</f>
      </c>
      <c r="GB29" s="345">
        <f>IF($EE$41&lt;8,$CT29,IF($EE$41=8,$DX29,IF($EP29&lt;&gt;"",$EP29,IF(FM29&lt;&gt;"",FM29,IF($I29="","","("&amp;$I29&amp;")")))))</f>
      </c>
      <c r="GC29" s="345">
        <f>IF($EE$41&lt;8,$CU29,IF($EE$41=8,$DY29,IF($EQ29&lt;&gt;"",$EQ29,IF(FN29&lt;&gt;"",FN29,IF($J29="","","("&amp;$J29&amp;")")))))</f>
      </c>
      <c r="GD29" s="345">
        <f>IF($EE$41&lt;8,$CV29,IF($EE$41=8,$DZ29,IF($ER29&lt;&gt;"",$ER29,IF(FO29&lt;&gt;"",FO29,IF($K29="","","("&amp;$K29&amp;")")))))</f>
      </c>
      <c r="GE29" s="257">
        <f t="shared" si="103"/>
        <v>0</v>
      </c>
      <c r="GF29" s="69">
        <f t="shared" si="44"/>
        <v>0</v>
      </c>
      <c r="GG29" s="70">
        <f t="shared" si="45"/>
      </c>
      <c r="GH29" s="39"/>
      <c r="GI29" s="801"/>
      <c r="GJ29" s="801"/>
      <c r="GK29" s="71">
        <f t="shared" si="46"/>
        <v>0</v>
      </c>
      <c r="GL29" s="71" t="str">
        <f t="shared" si="47"/>
        <v>0</v>
      </c>
      <c r="GM29" s="71"/>
      <c r="GN29" s="71"/>
      <c r="GO29" s="71"/>
      <c r="GP29" s="71"/>
      <c r="GQ29" s="1063" t="e">
        <f>MATCH("FL"&amp;ROW(FL11),$GU$11:$GU$23,0)</f>
        <v>#N/A</v>
      </c>
      <c r="GR29" s="71"/>
      <c r="GS29" s="71"/>
      <c r="GT29" s="324"/>
      <c r="GU29" s="324"/>
      <c r="GV29" s="1065">
        <f t="shared" si="51"/>
      </c>
      <c r="GW29" s="1065">
        <f t="shared" si="52"/>
      </c>
      <c r="GX29" s="1065">
        <f t="shared" si="53"/>
      </c>
      <c r="GY29" s="1065">
        <f t="shared" si="54"/>
      </c>
      <c r="GZ29" s="393"/>
      <c r="HA29" s="324"/>
      <c r="HB29" s="672"/>
      <c r="HC29" s="259" t="str">
        <f t="shared" si="86"/>
        <v>KR</v>
      </c>
      <c r="HD29" s="260">
        <f t="shared" si="87"/>
      </c>
      <c r="HE29" s="489"/>
      <c r="HF29" s="493"/>
      <c r="HG29" s="345">
        <f>IF($EE$41&lt;8,$CS29,IF($EE$41=8,$DW29,IF($EO29&lt;&gt;"",$EO29,IF($GV29&lt;&gt;"",$GV29,IF($H29="","","("&amp;$H29&amp;")")))))</f>
      </c>
      <c r="HH29" s="345">
        <f>IF($EE$41&lt;8,$CT29,IF($EE$41=8,$DX29,IF($EP29&lt;&gt;"",$EP29,IF($GW29&lt;&gt;"",$GW29,IF($I29="","","("&amp;$I29&amp;")")))))</f>
      </c>
      <c r="HI29" s="345">
        <f>IF($EE$41&lt;8,$CU29,IF($EE$41=8,$DY29,IF($EQ29&lt;&gt;"",$EQ29,IF($GX29&lt;&gt;"",$GX29,IF($J29="","","("&amp;$J29&amp;")")))))</f>
      </c>
      <c r="HJ29" s="345">
        <f>IF($EE$41&lt;8,$CV29,IF($EE$41=8,$DZ29,IF($ER29&lt;&gt;"",$ER29,IF($GY29&lt;&gt;"",$GY29,IF($K29="","","("&amp;$K29&amp;")")))))</f>
      </c>
      <c r="HK29" s="257">
        <f t="shared" si="104"/>
        <v>0</v>
      </c>
      <c r="HL29" s="69">
        <f t="shared" si="56"/>
        <v>0</v>
      </c>
      <c r="HM29" s="70">
        <f t="shared" si="57"/>
      </c>
      <c r="HN29" s="39"/>
      <c r="HO29" s="801"/>
      <c r="HP29" s="801"/>
      <c r="HQ29" s="71">
        <f t="shared" si="58"/>
        <v>0</v>
      </c>
      <c r="HR29" s="71" t="str">
        <f t="shared" si="59"/>
        <v>0</v>
      </c>
    </row>
    <row r="30" spans="2:226" ht="15" customHeight="1">
      <c r="B30" s="709"/>
      <c r="C30" s="853"/>
      <c r="D30" s="815" t="str">
        <f>IF(Zulassung!D29="","",Zulassung!D29)</f>
        <v>PL</v>
      </c>
      <c r="E30" s="816">
        <f>IF(Zulassung!E29="","",Zulassung!E29)</f>
      </c>
      <c r="F30" s="517">
        <f>IF(Zulassung!F29="","",Zulassung!F29)</f>
        <v>3</v>
      </c>
      <c r="G30" s="518">
        <f>IF(Zulassung!G29="","",Zulassung!G29)</f>
        <v>3</v>
      </c>
      <c r="H30" s="553">
        <f>IF(Zulassung!H29="","",Zulassung!H29)</f>
      </c>
      <c r="I30" s="554">
        <f>IF(Zulassung!I29="","",Zulassung!I29)</f>
      </c>
      <c r="J30" s="554">
        <f>IF(Zulassung!J29="","",Zulassung!J29)</f>
      </c>
      <c r="K30" s="555">
        <f>IF(Zulassung!K29="","",Zulassung!K29)</f>
      </c>
      <c r="L30" s="385">
        <f t="shared" si="0"/>
        <v>0</v>
      </c>
      <c r="O30" s="681"/>
      <c r="P30" s="255"/>
      <c r="Q30" s="306"/>
      <c r="R30" s="306"/>
      <c r="S30" s="306"/>
      <c r="T30" s="842">
        <f t="shared" si="60"/>
        <v>0</v>
      </c>
      <c r="U30" s="842" t="str">
        <f t="shared" si="2"/>
        <v>0</v>
      </c>
      <c r="V30" s="842">
        <f t="shared" si="3"/>
        <v>0</v>
      </c>
      <c r="W30" s="842">
        <f t="shared" si="4"/>
        <v>0</v>
      </c>
      <c r="Y30" s="639">
        <f>IF(OR(E30="",RIGHT(Z30,1)="R"),"",IF(AND(Z30="PL",E30&lt;&gt;"",OR(AND(COUNTIF($E$18:$E$20,"")=3,SUM($AB$18:$AB$23)+$AB$29&gt;=6),AND(COUNTIF($E$18:$E$20,"")=2,OR(ISNA(VLOOKUP("GE",$D$18:$E$20,2,FALSE))=FALSE,ISNA(VLOOKUP("SW",$D$18:$E$20,2,FALSE))=FALSE),SUM($AB$18:$AB$23)+$AB$29&gt;=8),AND(COUNTIF($E$18:$E$20,"")=2,OR(ISNA(VLOOKUP("GE",$D$18:$E$20,2,FALSE))=TRUE,ISNA(VLOOKUP("SW",$D$18:$E$20,2,FALSE))=TRUE),SUM($AB$18:$AB$23)+$AB$29&gt;=10))),"W","F"))</f>
      </c>
      <c r="Z30" s="842" t="str">
        <f t="shared" si="61"/>
        <v>PL</v>
      </c>
      <c r="AA30" s="502"/>
      <c r="AB30" s="842">
        <f t="shared" si="94"/>
        <v>0</v>
      </c>
      <c r="AC30" s="842">
        <v>2</v>
      </c>
      <c r="AD30" s="842" t="str">
        <f>IF(Z30="","",IF(COUNT(H29:I30)&gt;=2,"W","F"))</f>
        <v>F</v>
      </c>
      <c r="AE30" s="275"/>
      <c r="AF30" s="275"/>
      <c r="AG30" s="275"/>
      <c r="AH30" s="842">
        <f t="shared" si="105"/>
      </c>
      <c r="AI30" s="276"/>
      <c r="AJ30" s="289">
        <f t="shared" si="100"/>
      </c>
      <c r="AK30" s="277"/>
      <c r="AL30" s="275"/>
      <c r="AM30" s="322"/>
      <c r="AN30" s="973"/>
      <c r="AO30" s="969" t="s">
        <v>447</v>
      </c>
      <c r="AP30" s="277"/>
      <c r="AQ30" s="277"/>
      <c r="AR30" s="277"/>
      <c r="AS30" s="277"/>
      <c r="AT30" s="277"/>
      <c r="AU30" s="277"/>
      <c r="AV30" s="277"/>
      <c r="AW30" s="277"/>
      <c r="AX30" s="277"/>
      <c r="AY30" s="277"/>
      <c r="AZ30" s="277"/>
      <c r="BA30" s="277"/>
      <c r="BB30" s="277"/>
      <c r="BC30" s="277" t="s">
        <v>449</v>
      </c>
      <c r="BD30" s="842"/>
      <c r="BE30" s="842"/>
      <c r="BF30" s="1115">
        <f>IF(BF32=29,"R","")</f>
      </c>
      <c r="BG30" s="846">
        <f>IF(BH30="","",MATCH(BH30,H30:K30,0))</f>
      </c>
      <c r="BH30" s="1117">
        <f>IF(MAX(H30:K30)=0,"",MAX(H30:K30))</f>
      </c>
      <c r="BI30" s="846">
        <f>IF(OR(BJ30="",BJ30=0),"",IF(AND(MATCH(BJ30,H30:K30,0)=BG30,BG30&lt;&gt;2),MATCH(BJ30,H30:K30,1),IF(AND(MATCH(BJ30,H30:K30,0)=BG30,BG30=2),MATCH(BJ30,J30:K30,1)+2,MATCH(BJ30,H30:K30,0))))</f>
      </c>
      <c r="BJ30" s="274">
        <f>IF(BG30=1,MAX(I30:K30),IF(BG30=2,MAX(H30,J30,K30),IF(BG30=3,MAX(H30,I30,K30),IF(BG30=4,MAX(H30:J30),""))))</f>
      </c>
      <c r="BK30" s="275"/>
      <c r="BL30" s="275"/>
      <c r="BM30" s="842" t="e">
        <f>IF(OR($AJ30&lt;&gt;"",$BJ34="H30",$BJ33="H30"),H30,"")</f>
        <v>#NUM!</v>
      </c>
      <c r="BN30" s="842" t="e">
        <f>IF(OR($AJ30&lt;&gt;"",$BJ33="I30",$BJ34="I30"),I30,"")</f>
        <v>#NUM!</v>
      </c>
      <c r="BO30" s="842" t="e">
        <f>IF(OR($AJ30&lt;&gt;"",$BJ33="J30",$BJ34="J30"),J30,"")</f>
        <v>#NUM!</v>
      </c>
      <c r="BP30" s="842" t="e">
        <f>IF(OR($AJ30&lt;&gt;"",$BJ33="K30",$BJ34="K30"),K30,"")</f>
        <v>#NUM!</v>
      </c>
      <c r="BQ30" s="274">
        <f>IF(OR(E30=1,E30=2),SUM(H30:K30),0)</f>
        <v>0</v>
      </c>
      <c r="BR30" s="567">
        <f t="shared" si="5"/>
        <v>0</v>
      </c>
      <c r="BS30" s="567">
        <f t="shared" si="6"/>
        <v>0</v>
      </c>
      <c r="BT30" s="846" t="e">
        <f t="shared" si="108"/>
        <v>#NUM!</v>
      </c>
      <c r="BU30" s="846" t="e">
        <f t="shared" si="108"/>
        <v>#NUM!</v>
      </c>
      <c r="BV30" s="846" t="e">
        <f t="shared" si="108"/>
        <v>#NUM!</v>
      </c>
      <c r="BW30" s="846" t="e">
        <f t="shared" si="108"/>
        <v>#NUM!</v>
      </c>
      <c r="BX30" s="329"/>
      <c r="BY30" s="1072">
        <f t="shared" si="97"/>
      </c>
      <c r="BZ30" s="393"/>
      <c r="CA30" s="842">
        <f t="shared" si="9"/>
      </c>
      <c r="CB30" s="842">
        <f t="shared" si="10"/>
      </c>
      <c r="CC30" s="842">
        <f t="shared" si="11"/>
      </c>
      <c r="CD30" s="842">
        <f t="shared" si="12"/>
      </c>
      <c r="CE30" s="919"/>
      <c r="CF30" s="1033">
        <f t="shared" si="13"/>
      </c>
      <c r="CG30" s="1033">
        <f t="shared" si="14"/>
      </c>
      <c r="CH30" s="1033">
        <f t="shared" si="15"/>
      </c>
      <c r="CI30" s="1033">
        <f t="shared" si="16"/>
      </c>
      <c r="CJ30" s="393"/>
      <c r="CK30" s="919"/>
      <c r="CL30" s="393"/>
      <c r="CM30" s="684"/>
      <c r="CN30" s="672"/>
      <c r="CO30" s="263" t="str">
        <f t="shared" si="17"/>
        <v>PL</v>
      </c>
      <c r="CP30" s="264">
        <f t="shared" si="18"/>
      </c>
      <c r="CQ30" s="263"/>
      <c r="CR30" s="264"/>
      <c r="CS30" s="346">
        <f t="shared" si="109"/>
      </c>
      <c r="CT30" s="347">
        <f t="shared" si="109"/>
      </c>
      <c r="CU30" s="347">
        <f t="shared" si="109"/>
      </c>
      <c r="CV30" s="347">
        <f t="shared" si="109"/>
      </c>
      <c r="CW30" s="565">
        <f t="shared" si="101"/>
        <v>0</v>
      </c>
      <c r="CX30" s="420">
        <f t="shared" si="20"/>
        <v>0</v>
      </c>
      <c r="CY30" s="494">
        <f t="shared" si="21"/>
      </c>
      <c r="CZ30" s="39"/>
      <c r="DA30" s="801"/>
      <c r="DB30" s="801"/>
      <c r="DC30" s="801"/>
      <c r="DD30" s="801"/>
      <c r="DE30" s="71">
        <f t="shared" si="22"/>
        <v>0</v>
      </c>
      <c r="DF30" s="71" t="str">
        <f t="shared" si="23"/>
        <v>0</v>
      </c>
      <c r="DG30" s="393"/>
      <c r="DH30" s="393"/>
      <c r="DI30" s="919"/>
      <c r="DJ30" s="393"/>
      <c r="DK30" s="648">
        <f t="shared" si="110"/>
      </c>
      <c r="DL30" s="648">
        <f t="shared" si="111"/>
      </c>
      <c r="DM30" s="648">
        <f t="shared" si="112"/>
      </c>
      <c r="DN30" s="648">
        <f t="shared" si="113"/>
      </c>
      <c r="DO30" s="919"/>
      <c r="DP30" s="393"/>
      <c r="DQ30" s="684"/>
      <c r="DR30" s="672"/>
      <c r="DS30" s="263" t="str">
        <f t="shared" si="25"/>
        <v>PL</v>
      </c>
      <c r="DT30" s="264">
        <f t="shared" si="26"/>
      </c>
      <c r="DU30" s="263"/>
      <c r="DV30" s="264"/>
      <c r="DW30" s="346">
        <f t="shared" si="114"/>
      </c>
      <c r="DX30" s="347">
        <f t="shared" si="114"/>
      </c>
      <c r="DY30" s="347">
        <f t="shared" si="114"/>
      </c>
      <c r="DZ30" s="347">
        <f t="shared" si="114"/>
      </c>
      <c r="EA30" s="565">
        <f t="shared" si="102"/>
        <v>0</v>
      </c>
      <c r="EB30" s="420">
        <f t="shared" si="28"/>
        <v>0</v>
      </c>
      <c r="EC30" s="494">
        <f t="shared" si="29"/>
      </c>
      <c r="ED30" s="39"/>
      <c r="EE30" s="801"/>
      <c r="EF30" s="801"/>
      <c r="EG30" s="71">
        <f t="shared" si="30"/>
        <v>0</v>
      </c>
      <c r="EH30" s="71" t="str">
        <f t="shared" si="31"/>
        <v>0</v>
      </c>
      <c r="EI30" s="393"/>
      <c r="EJ30" s="393"/>
      <c r="EK30" s="393"/>
      <c r="EL30" s="393"/>
      <c r="EM30" s="393"/>
      <c r="EN30" s="568"/>
      <c r="EO30" s="955" t="e">
        <f t="shared" si="120"/>
        <v>#NUM!</v>
      </c>
      <c r="EP30" s="956" t="e">
        <f t="shared" si="120"/>
        <v>#NUM!</v>
      </c>
      <c r="EQ30" s="956" t="e">
        <f t="shared" si="120"/>
        <v>#NUM!</v>
      </c>
      <c r="ER30" s="957" t="e">
        <f t="shared" si="120"/>
        <v>#NUM!</v>
      </c>
      <c r="ES30" s="391">
        <f t="shared" si="34"/>
        <v>0</v>
      </c>
      <c r="ET30" s="391"/>
      <c r="EU30" s="958" t="e">
        <f t="shared" si="117"/>
        <v>#NUM!</v>
      </c>
      <c r="EV30" s="958" t="e">
        <f t="shared" si="117"/>
        <v>#NUM!</v>
      </c>
      <c r="EW30" s="958" t="e">
        <f t="shared" si="117"/>
        <v>#NUM!</v>
      </c>
      <c r="EX30" s="958" t="e">
        <f t="shared" si="117"/>
        <v>#NUM!</v>
      </c>
      <c r="EY30" s="685"/>
      <c r="EZ30" s="579"/>
      <c r="FA30" s="962">
        <f t="shared" si="1"/>
        <v>0</v>
      </c>
      <c r="FB30" s="962">
        <f t="shared" si="36"/>
        <v>0</v>
      </c>
      <c r="FC30" s="684"/>
      <c r="FL30" s="842">
        <f t="shared" si="38"/>
      </c>
      <c r="FM30" s="842">
        <f t="shared" si="39"/>
      </c>
      <c r="FN30" s="842">
        <f t="shared" si="40"/>
      </c>
      <c r="FO30" s="842">
        <f t="shared" si="41"/>
      </c>
      <c r="FP30" s="255"/>
      <c r="FQ30" s="684"/>
      <c r="FR30" s="684"/>
      <c r="FS30" s="684"/>
      <c r="FT30" s="684"/>
      <c r="FU30" s="684"/>
      <c r="FV30" s="672"/>
      <c r="FW30" s="261" t="str">
        <f t="shared" si="79"/>
        <v>PL</v>
      </c>
      <c r="FX30" s="262">
        <f t="shared" si="80"/>
      </c>
      <c r="FY30" s="263"/>
      <c r="FZ30" s="264"/>
      <c r="GA30" s="346">
        <f>IF($EE$41&lt;8,$CS30,IF($EE$41=8,$DW30,IF($EO30&lt;&gt;"",$EO30,IF(FL30&lt;&gt;"",FL30,IF($H30="","","("&amp;$H30&amp;")")))))</f>
      </c>
      <c r="GB30" s="347">
        <f>IF($EE$41&lt;8,$CT30,IF($EE$41=8,$DX30,IF($EP30&lt;&gt;"",$EP30,IF(FM30&lt;&gt;"",FM30,IF($I30="","","("&amp;$I30&amp;")")))))</f>
      </c>
      <c r="GC30" s="347">
        <f>IF($EE$41&lt;8,$CU30,IF($EE$41=8,$DY30,IF($EQ30&lt;&gt;"",$EQ30,IF(FN30&lt;&gt;"",FN30,IF($J30="","","("&amp;$J30&amp;")")))))</f>
      </c>
      <c r="GD30" s="347">
        <f>IF($EE$41&lt;8,$CV30,IF($EE$41=8,$DZ30,IF($ER30&lt;&gt;"",$ER30,IF(FO30&lt;&gt;"",FO30,IF($K30="","","("&amp;$K30&amp;")")))))</f>
      </c>
      <c r="GE30" s="565">
        <f t="shared" si="103"/>
        <v>0</v>
      </c>
      <c r="GF30" s="420">
        <f t="shared" si="44"/>
        <v>0</v>
      </c>
      <c r="GG30" s="494">
        <f t="shared" si="45"/>
      </c>
      <c r="GH30" s="39"/>
      <c r="GI30" s="801"/>
      <c r="GJ30" s="801"/>
      <c r="GK30" s="71">
        <f t="shared" si="46"/>
        <v>0</v>
      </c>
      <c r="GL30" s="71" t="str">
        <f t="shared" si="47"/>
        <v>0</v>
      </c>
      <c r="GM30" s="71"/>
      <c r="GN30" s="71"/>
      <c r="GO30" s="71"/>
      <c r="GP30" s="71"/>
      <c r="GQ30" s="1063" t="e">
        <f>MATCH("FL"&amp;ROW(FL12),$GU$11:$GU$23,0)</f>
        <v>#N/A</v>
      </c>
      <c r="GR30" s="71"/>
      <c r="GS30" s="71"/>
      <c r="GT30" s="324"/>
      <c r="GU30" s="324"/>
      <c r="GV30" s="1065">
        <f t="shared" si="51"/>
      </c>
      <c r="GW30" s="1065">
        <f t="shared" si="52"/>
      </c>
      <c r="GX30" s="1065">
        <f t="shared" si="53"/>
      </c>
      <c r="GY30" s="1065">
        <f t="shared" si="54"/>
      </c>
      <c r="GZ30" s="393"/>
      <c r="HA30" s="324"/>
      <c r="HB30" s="672"/>
      <c r="HC30" s="261" t="str">
        <f t="shared" si="86"/>
        <v>PL</v>
      </c>
      <c r="HD30" s="262">
        <f t="shared" si="87"/>
      </c>
      <c r="HE30" s="263"/>
      <c r="HF30" s="264"/>
      <c r="HG30" s="347">
        <f>IF($EE$41&lt;8,$CS30,IF($EE$41=8,$DW30,IF($EO30&lt;&gt;"",$EO30,IF($GV30&lt;&gt;"",$GV30,IF($H30="","","("&amp;$H30&amp;")")))))</f>
      </c>
      <c r="HH30" s="347">
        <f>IF($EE$41&lt;8,$CT30,IF($EE$41=8,$DX30,IF($EP30&lt;&gt;"",$EP30,IF($GW30&lt;&gt;"",$GW30,IF($I30="","","("&amp;$I30&amp;")")))))</f>
      </c>
      <c r="HI30" s="347">
        <f>IF($EE$41&lt;8,$CU30,IF($EE$41=8,$DY30,IF($EQ30&lt;&gt;"",$EQ30,IF($GX30&lt;&gt;"",$GX30,IF($J30="","","("&amp;$J30&amp;")")))))</f>
      </c>
      <c r="HJ30" s="347">
        <f>IF($EE$41&lt;8,$CV30,IF($EE$41=8,$DZ30,IF($ER30&lt;&gt;"",$ER30,IF($GY30&lt;&gt;"",$GY30,IF($K30="","","("&amp;$K30&amp;")")))))</f>
      </c>
      <c r="HK30" s="565">
        <f t="shared" si="104"/>
        <v>0</v>
      </c>
      <c r="HL30" s="420">
        <f t="shared" si="56"/>
        <v>0</v>
      </c>
      <c r="HM30" s="494">
        <f t="shared" si="57"/>
      </c>
      <c r="HN30" s="39"/>
      <c r="HO30" s="801"/>
      <c r="HP30" s="801"/>
      <c r="HQ30" s="71">
        <f t="shared" si="58"/>
        <v>0</v>
      </c>
      <c r="HR30" s="71" t="str">
        <f t="shared" si="59"/>
        <v>0</v>
      </c>
    </row>
    <row r="31" spans="2:226" ht="15" customHeight="1" thickBot="1">
      <c r="B31" s="709"/>
      <c r="C31" s="828"/>
      <c r="D31" s="829" t="str">
        <f>IF(Zulassung!D30="","",Zulassung!D30)</f>
        <v>SP</v>
      </c>
      <c r="E31" s="816">
        <f>IF(Zulassung!E30="","",Zulassung!E30)</f>
      </c>
      <c r="F31" s="517">
        <f>IF(Zulassung!F30="","",Zulassung!F30)</f>
        <v>3</v>
      </c>
      <c r="G31" s="518">
        <f>IF(Zulassung!G30="","",Zulassung!G30)</f>
        <v>3</v>
      </c>
      <c r="H31" s="553">
        <f>IF(Zulassung!H30="","",Zulassung!H30)</f>
      </c>
      <c r="I31" s="554">
        <f>IF(Zulassung!I30="","",Zulassung!I30)</f>
      </c>
      <c r="J31" s="554">
        <f>IF(Zulassung!J30="","",Zulassung!J30)</f>
      </c>
      <c r="K31" s="555">
        <f>IF(Zulassung!K30="","",Zulassung!K30)</f>
      </c>
      <c r="L31" s="371">
        <f>IF($D31&lt;&gt;"",COUNTA($H31:$K31)-COUNTIF(H31:K31,"0")-COUNTIF(H31:K31,""),"")</f>
        <v>0</v>
      </c>
      <c r="O31" s="681"/>
      <c r="P31" s="255"/>
      <c r="Q31" s="306"/>
      <c r="R31" s="306"/>
      <c r="S31" s="306"/>
      <c r="T31" s="842">
        <f t="shared" si="60"/>
        <v>0</v>
      </c>
      <c r="U31" s="842" t="str">
        <f t="shared" si="2"/>
        <v>0</v>
      </c>
      <c r="V31" s="842">
        <f t="shared" si="3"/>
        <v>0</v>
      </c>
      <c r="W31" s="842">
        <f t="shared" si="4"/>
        <v>0</v>
      </c>
      <c r="Z31" s="842" t="str">
        <f t="shared" si="61"/>
        <v>SP</v>
      </c>
      <c r="AA31" s="842">
        <f>IF(OR(AND(G31="",MAX(H31:K31)&gt;0),AND(H31="",MAX(I31:K31)&gt;0),AND(I31="",MAX(J31:K31)&gt;0),AND(J31="",K31&lt;&gt;"")),1,0)</f>
        <v>0</v>
      </c>
      <c r="AB31" s="842">
        <f t="shared" si="94"/>
        <v>0</v>
      </c>
      <c r="AC31" s="842">
        <v>4</v>
      </c>
      <c r="AD31" s="842" t="str">
        <f>IF(D31="","",IF(AB31&gt;=AC31,"W","F"))</f>
        <v>F</v>
      </c>
      <c r="AE31" s="314"/>
      <c r="AF31" s="314"/>
      <c r="AG31" s="314"/>
      <c r="AH31" s="842">
        <f t="shared" si="105"/>
      </c>
      <c r="AI31" s="278"/>
      <c r="AJ31" s="289">
        <f t="shared" si="100"/>
      </c>
      <c r="AK31" s="277"/>
      <c r="AL31" s="275"/>
      <c r="AM31" s="322"/>
      <c r="AN31" s="322" t="str">
        <f>Z25</f>
        <v>BI</v>
      </c>
      <c r="AO31" s="966"/>
      <c r="AP31" s="937">
        <f ca="1">IF(OR($D25="",$D26="",AS$24=""),"",COUNTIF($CS$25:$CV$25,"&lt;5")+COUNTIF($CU$26:$CV$26,"&lt;5")+COUNTIF(INDIRECT("CU"&amp;MATCH(AS$24,$D$11:$D$13,0)+10&amp;":CV"&amp;MATCH(AS$24,$D$11:$D$13,0)+10),"&lt;5"))</f>
      </c>
      <c r="AQ31" s="937">
        <f ca="1">IF(OR($D25="",$D27="",AS$24=""),"",COUNTIF($CS$25:$CV$25,"&lt;5")+COUNTIF($CU$27:$CV$27,"&lt;5")+COUNTIF(INDIRECT("CU"&amp;MATCH(AS$24,$D$11:$D$13,0)+10&amp;":CV"&amp;MATCH(AS$24,$D$11:$D$13,0)+10),"&lt;5"))</f>
      </c>
      <c r="AR31" s="314"/>
      <c r="AS31" s="277"/>
      <c r="AT31" s="966"/>
      <c r="AU31" s="1029">
        <f ca="1">IF(OR($D25="",$D26="",AX$24=""),"",COUNTIF($CS$25:$CV$25,"&lt;5")+COUNTIF($CU$26:$CV$26,"&lt;5")+COUNTIF(INDIRECT("CU"&amp;MATCH(AX$24,$D$11:$D$13,0)+10&amp;":CV"&amp;MATCH(AX$24,$D$11:$D$13,0)+10),"&lt;5"))</f>
      </c>
      <c r="AV31" s="1029">
        <f ca="1">IF(OR($D25="",$D27="",AX$24=""),"",COUNTIF($CS$25:$CV$25,"&lt;5")+COUNTIF($CU$27:$CV$27,"&lt;5")+COUNTIF(INDIRECT("CU"&amp;MATCH(AX$24,$D$11:$D$13,0)+10&amp;":CV"&amp;MATCH(AX$24,$D$11:$D$13,0)+10),"&lt;5"))</f>
      </c>
      <c r="AW31" s="277"/>
      <c r="AX31" s="277"/>
      <c r="AY31" s="966"/>
      <c r="AZ31" s="1029">
        <f ca="1">IF(OR($D25="",$D26="",BC$24=""),"",COUNTIF($CS$25:$CV$25,"&lt;5")+COUNTIF($CU$26:$CV$26,"&lt;5")+COUNTIF(INDIRECT("CU"&amp;MATCH(BC$24,$D$11:$D$13,0)+10&amp;":CV"&amp;MATCH(BC$24,$D$11:$D$13,0)+10),"&lt;5"))</f>
      </c>
      <c r="BA31" s="1029">
        <f ca="1">IF(OR($D25="",$D27="",BC$24=""),"",COUNTIF($CS$25:$CV$25,"&lt;5")+COUNTIF($CU$27:$CV$27,"&lt;5")+COUNTIF(INDIRECT("CU"&amp;MATCH(BC$24,$D$11:$D$13,0)+10&amp;":CV"&amp;MATCH(BC$24,$D$11:$D$13,0)+10),"&lt;5"))</f>
      </c>
      <c r="BB31" s="277"/>
      <c r="BC31" s="972">
        <f>COUNTIF(H25:K25,"&lt;5")</f>
        <v>0</v>
      </c>
      <c r="BD31" s="277"/>
      <c r="BE31" s="1116" t="s">
        <v>504</v>
      </c>
      <c r="BF31" s="1106">
        <f ca="1">COUNT(INDIRECT("H"&amp;BF32&amp;":K"&amp;BF32))</f>
        <v>0</v>
      </c>
      <c r="BG31" s="277"/>
      <c r="BH31" s="277"/>
      <c r="BI31" s="277"/>
      <c r="BQ31" s="247">
        <f>IF(OR(E31=1,E31=2),SUM(H31:K31),0)</f>
        <v>0</v>
      </c>
      <c r="BR31" s="567">
        <f>IF(AND(E31&lt;&gt;1,E31&lt;&gt;2,Z31&lt;&gt;0),COUNTIF(BM32:BP32,"&lt;5"),0)</f>
        <v>0</v>
      </c>
      <c r="BS31" s="567">
        <f>IF(OR(E31=1,E40=2),COUNTIF(BM32:BP32,"&lt;5"),0)</f>
        <v>0</v>
      </c>
      <c r="BT31" s="842">
        <f>IF(BM31="",H31,"")</f>
      </c>
      <c r="BU31" s="842">
        <f>IF(BN31="",I31,"")</f>
      </c>
      <c r="BV31" s="842">
        <f>IF(BO31="",J31,"")</f>
      </c>
      <c r="BW31" s="842">
        <f>IF(BP31="",K31,"")</f>
      </c>
      <c r="BX31" s="276"/>
      <c r="BY31" s="1072">
        <f t="shared" si="97"/>
      </c>
      <c r="BZ31" s="393"/>
      <c r="CA31" s="842">
        <f t="shared" si="9"/>
      </c>
      <c r="CB31" s="842">
        <f t="shared" si="10"/>
      </c>
      <c r="CC31" s="842">
        <f t="shared" si="11"/>
      </c>
      <c r="CD31" s="842">
        <f t="shared" si="12"/>
      </c>
      <c r="CE31" s="919"/>
      <c r="CF31" s="1033">
        <f t="shared" si="13"/>
      </c>
      <c r="CG31" s="1033">
        <f t="shared" si="14"/>
      </c>
      <c r="CH31" s="1033">
        <f t="shared" si="15"/>
      </c>
      <c r="CI31" s="1033">
        <f t="shared" si="16"/>
      </c>
      <c r="CJ31" s="393"/>
      <c r="CK31" s="919"/>
      <c r="CL31" s="393"/>
      <c r="CM31" s="684"/>
      <c r="CN31" s="672"/>
      <c r="CO31" s="500" t="str">
        <f t="shared" si="17"/>
        <v>SP</v>
      </c>
      <c r="CP31" s="501">
        <f t="shared" si="18"/>
      </c>
      <c r="CQ31" s="500"/>
      <c r="CR31" s="501"/>
      <c r="CS31" s="345">
        <f>IF(OR($Z31="",H31=""),"",IF(BM31&lt;&gt;"",BM31,IF(CF31&lt;&gt;"",CF31,"("&amp;H31&amp;")")))</f>
      </c>
      <c r="CT31" s="345">
        <f>IF(OR($Z31="",I31=""),"",IF(BN31&lt;&gt;"",BN31,IF(CG31&lt;&gt;"",CG31,"("&amp;I31&amp;")")))</f>
      </c>
      <c r="CU31" s="345">
        <f>IF(OR($Z31="",J31=""),"",IF(BO31&lt;&gt;"",BO31,IF(CH31&lt;&gt;"",CH31,"("&amp;J31&amp;")")))</f>
      </c>
      <c r="CV31" s="345">
        <f>IF(OR($Z31="",K31=""),"",IF(BP31&lt;&gt;"",BP31,IF(CI31&lt;&gt;"",CI31,"("&amp;K31&amp;")")))</f>
      </c>
      <c r="CW31" s="257">
        <f t="shared" si="101"/>
        <v>0</v>
      </c>
      <c r="CX31" s="69">
        <f t="shared" si="20"/>
        <v>0</v>
      </c>
      <c r="CY31" s="70">
        <f t="shared" si="21"/>
      </c>
      <c r="CZ31" s="39"/>
      <c r="DA31" s="801"/>
      <c r="DB31" s="801"/>
      <c r="DC31" s="801"/>
      <c r="DD31" s="801"/>
      <c r="DE31" s="71">
        <f t="shared" si="22"/>
        <v>0</v>
      </c>
      <c r="DF31" s="71" t="str">
        <f t="shared" si="23"/>
        <v>0</v>
      </c>
      <c r="DG31" s="393"/>
      <c r="DH31" s="393"/>
      <c r="DI31" s="919"/>
      <c r="DJ31" s="393"/>
      <c r="DK31" s="642">
        <f t="shared" si="110"/>
      </c>
      <c r="DL31" s="642">
        <f t="shared" si="111"/>
      </c>
      <c r="DM31" s="642">
        <f t="shared" si="112"/>
      </c>
      <c r="DN31" s="642">
        <f t="shared" si="113"/>
      </c>
      <c r="DO31" s="919"/>
      <c r="DP31" s="393"/>
      <c r="DQ31" s="684"/>
      <c r="DR31" s="672"/>
      <c r="DS31" s="500" t="str">
        <f t="shared" si="25"/>
        <v>SP</v>
      </c>
      <c r="DT31" s="501">
        <f t="shared" si="26"/>
      </c>
      <c r="DU31" s="500"/>
      <c r="DV31" s="501"/>
      <c r="DW31" s="345">
        <f t="shared" si="114"/>
      </c>
      <c r="DX31" s="345">
        <f t="shared" si="114"/>
      </c>
      <c r="DY31" s="345">
        <f t="shared" si="114"/>
      </c>
      <c r="DZ31" s="345">
        <f t="shared" si="114"/>
      </c>
      <c r="EA31" s="257">
        <f t="shared" si="102"/>
        <v>0</v>
      </c>
      <c r="EB31" s="69">
        <f t="shared" si="28"/>
        <v>0</v>
      </c>
      <c r="EC31" s="70">
        <f t="shared" si="29"/>
      </c>
      <c r="ED31" s="39"/>
      <c r="EE31" s="801"/>
      <c r="EF31" s="801"/>
      <c r="EG31" s="71">
        <f t="shared" si="30"/>
        <v>0</v>
      </c>
      <c r="EH31" s="71" t="str">
        <f t="shared" si="31"/>
        <v>0</v>
      </c>
      <c r="EI31" s="393"/>
      <c r="EJ31" s="393"/>
      <c r="EK31" s="393"/>
      <c r="EL31" s="393"/>
      <c r="EM31" s="393"/>
      <c r="EN31" s="568" t="s">
        <v>385</v>
      </c>
      <c r="EO31" s="930">
        <f>IF($E$31="","",H31)</f>
      </c>
      <c r="EP31" s="930">
        <f>IF($E$31="","",I31)</f>
      </c>
      <c r="EQ31" s="930">
        <f>IF($E$31="","",J31)</f>
      </c>
      <c r="ER31" s="930">
        <f>IF($E$31="","",K31)</f>
      </c>
      <c r="ES31" s="391">
        <f t="shared" si="34"/>
        <v>0</v>
      </c>
      <c r="ET31" s="391"/>
      <c r="EU31" s="958">
        <f t="shared" si="117"/>
      </c>
      <c r="EV31" s="958">
        <f t="shared" si="117"/>
      </c>
      <c r="EW31" s="958">
        <f t="shared" si="117"/>
      </c>
      <c r="EX31" s="958">
        <f t="shared" si="117"/>
      </c>
      <c r="EY31" s="685"/>
      <c r="EZ31" s="579"/>
      <c r="FA31" s="962"/>
      <c r="FB31" s="962">
        <f t="shared" si="36"/>
        <v>0</v>
      </c>
      <c r="FC31" s="684"/>
      <c r="FL31" s="846">
        <f t="shared" si="38"/>
      </c>
      <c r="FM31" s="846">
        <f t="shared" si="39"/>
      </c>
      <c r="FN31" s="846">
        <f t="shared" si="40"/>
      </c>
      <c r="FO31" s="846">
        <f t="shared" si="41"/>
      </c>
      <c r="FP31" s="255"/>
      <c r="FQ31" s="684"/>
      <c r="FR31" s="684"/>
      <c r="FS31" s="684"/>
      <c r="FT31" s="684"/>
      <c r="FU31" s="684"/>
      <c r="FV31" s="672"/>
      <c r="FW31" s="1059" t="str">
        <f t="shared" si="79"/>
        <v>SP</v>
      </c>
      <c r="FX31" s="1060">
        <f t="shared" si="80"/>
      </c>
      <c r="FY31" s="1059"/>
      <c r="FZ31" s="1060"/>
      <c r="GA31" s="1061">
        <f>IF($EE$41&lt;8,$CS31,IF($EF$41=8,$DW31,IF($EO31&lt;&gt;"",$EO31,IF(FL31&lt;&gt;"",FL31,IF($H31="","","("&amp;$H31&amp;")")))))</f>
      </c>
      <c r="GB31" s="1062">
        <f>IF($EE$41&lt;8,$CT31,IF($EF$41=8,$DX31,IF($EP31&lt;&gt;"",$EP31,IF(FM31&lt;&gt;"",FM31,IF($I31="","","("&amp;$I31&amp;")")))))</f>
      </c>
      <c r="GC31" s="1062">
        <f>IF($EE$41&lt;8,$CU31,IF($EF$41=8,$DY31,IF($EQ31&lt;&gt;"",$EQ31,IF(FN31&lt;&gt;"",FN31,IF($J31="","","("&amp;$J31&amp;")")))))</f>
      </c>
      <c r="GD31" s="1062">
        <f>IF($EE$41&lt;8,$CV31,IF($EF$41=8,$DZ31,IF($ER31&lt;&gt;"",$ER31,IF(FO31&lt;&gt;"",FO31,IF($K31="","","("&amp;$K31&amp;")")))))</f>
      </c>
      <c r="GE31" s="257">
        <f t="shared" si="103"/>
        <v>0</v>
      </c>
      <c r="GF31" s="69">
        <f t="shared" si="44"/>
        <v>0</v>
      </c>
      <c r="GG31" s="70">
        <f t="shared" si="45"/>
      </c>
      <c r="GH31" s="39"/>
      <c r="GI31" s="801"/>
      <c r="GJ31" s="801"/>
      <c r="GK31" s="71">
        <f t="shared" si="46"/>
        <v>0</v>
      </c>
      <c r="GL31" s="71" t="str">
        <f t="shared" si="47"/>
        <v>0</v>
      </c>
      <c r="GM31" s="71"/>
      <c r="GN31" s="71"/>
      <c r="GO31" s="71"/>
      <c r="GP31" s="71"/>
      <c r="GQ31" s="1063" t="e">
        <f>MATCH("FL"&amp;ROW(FL13),$GU$11:$GU$23,0)</f>
        <v>#N/A</v>
      </c>
      <c r="GR31" s="71"/>
      <c r="GS31" s="71"/>
      <c r="GT31" s="324"/>
      <c r="GU31" s="324"/>
      <c r="GV31" s="1065">
        <f t="shared" si="51"/>
      </c>
      <c r="GW31" s="1065">
        <f t="shared" si="52"/>
      </c>
      <c r="GX31" s="1065">
        <f t="shared" si="53"/>
      </c>
      <c r="GY31" s="1065">
        <f t="shared" si="54"/>
      </c>
      <c r="GZ31" s="393"/>
      <c r="HA31" s="324"/>
      <c r="HB31" s="672"/>
      <c r="HC31" s="1059" t="str">
        <f t="shared" si="86"/>
        <v>SP</v>
      </c>
      <c r="HD31" s="1060">
        <f t="shared" si="87"/>
      </c>
      <c r="HE31" s="1059"/>
      <c r="HF31" s="1060"/>
      <c r="HG31" s="1061">
        <f>IF($EE$41&lt;8,$CS31,IF($EE$41=8,$DW31,IF($EO31&lt;&gt;"",$EO31,IF($GV31&lt;&gt;"",$GV31,IF($H31="","","("&amp;$H31&amp;")")))))</f>
      </c>
      <c r="HH31" s="1062">
        <f>IF($EE$41&lt;8,$CT31,IF($EE$41=8,$DX31,IF($EP31&lt;&gt;"",$EP31,IF($GW31&lt;&gt;"",$GW31,IF($I31="","","("&amp;$I31&amp;")")))))</f>
      </c>
      <c r="HI31" s="1062">
        <f>IF($EE$41&lt;8,$CU31,IF($EE$41=8,$DY31,IF($EQ31&lt;&gt;"",$EQ31,IF($GX31&lt;&gt;"",$GX31,IF($J31="","","("&amp;$J31&amp;")")))))</f>
      </c>
      <c r="HJ31" s="1062">
        <f>IF($EE$41&lt;8,$CV31,IF($EE$41=8,$DZ31,IF($ER31&lt;&gt;"",$ER31,IF($GY31&lt;&gt;"",$GY31,IF($K31="","","("&amp;$K31&amp;")")))))</f>
      </c>
      <c r="HK31" s="257">
        <f t="shared" si="104"/>
        <v>0</v>
      </c>
      <c r="HL31" s="69">
        <f t="shared" si="56"/>
        <v>0</v>
      </c>
      <c r="HM31" s="70">
        <f t="shared" si="57"/>
      </c>
      <c r="HN31" s="39"/>
      <c r="HO31" s="801"/>
      <c r="HP31" s="801"/>
      <c r="HQ31" s="71">
        <f t="shared" si="58"/>
        <v>0</v>
      </c>
      <c r="HR31" s="71" t="str">
        <f t="shared" si="59"/>
        <v>0</v>
      </c>
    </row>
    <row r="32" spans="3:226" ht="15" customHeight="1">
      <c r="C32" s="1526" t="s">
        <v>432</v>
      </c>
      <c r="D32" s="831">
        <f>IF(Zulassung!D31="","",Zulassung!D31)</f>
      </c>
      <c r="E32" s="519"/>
      <c r="F32" s="833"/>
      <c r="G32" s="835"/>
      <c r="H32" s="1529">
        <f>IF(Zulassung!H31="","",Zulassung!H31)</f>
      </c>
      <c r="I32" s="1516">
        <f>IF(Zulassung!I31="","",Zulassung!I31)</f>
      </c>
      <c r="J32" s="1516">
        <f>IF(Zulassung!J31="","",Zulassung!J31)</f>
      </c>
      <c r="K32" s="1553">
        <f>IF(Zulassung!K31="","",Zulassung!K31)</f>
      </c>
      <c r="L32" s="1556">
        <f>IF($D32&lt;&gt;"",COUNT($H32:$K32),IF(AND($D32="",COUNT(F32:K32)&gt;0),"?",""))</f>
      </c>
      <c r="O32" s="681"/>
      <c r="P32" s="85"/>
      <c r="S32" s="306"/>
      <c r="T32" s="842">
        <f t="shared" si="60"/>
        <v>0</v>
      </c>
      <c r="U32" s="842"/>
      <c r="V32" s="842">
        <f t="shared" si="3"/>
        <v>0</v>
      </c>
      <c r="W32" s="842"/>
      <c r="Z32" s="842">
        <f t="shared" si="61"/>
      </c>
      <c r="AA32" s="511"/>
      <c r="AB32" s="512"/>
      <c r="AC32" s="512"/>
      <c r="AD32" s="512"/>
      <c r="AE32" s="255"/>
      <c r="AF32" s="255"/>
      <c r="AG32" s="255"/>
      <c r="AH32" s="255"/>
      <c r="AI32" s="255"/>
      <c r="AJ32" s="255"/>
      <c r="AK32" s="78"/>
      <c r="AL32" s="255"/>
      <c r="AM32" s="325"/>
      <c r="AN32" s="325">
        <f>Z26</f>
      </c>
      <c r="AO32" s="970">
        <f ca="1">IF(OR($D26="",$D25="",AS$24=""),"",COUNTIF($CS$26:$CV$26,"&lt;5")+COUNTIF($CU$25:$CV$25,"&lt;5")+COUNTIF(INDIRECT("CU"&amp;MATCH(AS$24,$D$11:$D$13,0)+10&amp;":CV"&amp;MATCH(AS$24,$D$11:$D$13,0)+10),"&lt;5"))</f>
      </c>
      <c r="AP32" s="966"/>
      <c r="AQ32" s="937">
        <f ca="1">IF(OR($D26="",$D27="",AS$24=""),"",COUNTIF($CS$26:$CV$26,"&lt;5")+COUNTIF($CU$27:$CV$27,"&lt;5")+COUNTIF(INDIRECT("CU"&amp;MATCH(AS$24,$D$11:$D$13,0)+10&amp;":CV"&amp;MATCH(AS$24,$D$11:$D$13,0)+10),"&lt;5"))</f>
      </c>
      <c r="AR32" s="248"/>
      <c r="AS32" s="78"/>
      <c r="AT32" s="970">
        <f ca="1">IF(OR($D26="",$D25="",AX$24=""),"",COUNTIF($CS$26:$CV$26,"&lt;5")+COUNTIF($CU$25:$CV$25,"&lt;5")+COUNTIF(INDIRECT("CU"&amp;MATCH(AX$24,$D$11:$D$13,0)+10&amp;":CV"&amp;MATCH(AX$24,$D$11:$D$13,0)+10),"&lt;5"))</f>
      </c>
      <c r="AU32" s="966"/>
      <c r="AV32" s="1029">
        <f ca="1">IF(OR($D26="",$D27="",AX$24=""),"",COUNTIF($CS$26:$CV$26,"&lt;5")+COUNTIF($CU$27:$CV$27,"&lt;5")+COUNTIF(INDIRECT("CU"&amp;MATCH(AX$24,$D$11:$D$13,0)+10&amp;":CV"&amp;MATCH(AX$24,$D$11:$D$13,0)+10),"&lt;5"))</f>
      </c>
      <c r="AW32" s="78"/>
      <c r="AX32" s="78"/>
      <c r="AY32" s="970">
        <f ca="1">IF(OR($D26="",$D25="",BC$24=""),"",COUNTIF($CS$26:$CV$26,"&lt;5")+COUNTIF($CU$25:$CV$25,"&lt;5")+COUNTIF(INDIRECT("CU"&amp;MATCH(BC$24,$D$11:$D$13,0)+10&amp;":CV"&amp;MATCH(BC$24,$D$11:$D$13,0)+10),"&lt;5"))</f>
      </c>
      <c r="AZ32" s="966"/>
      <c r="BA32" s="1029">
        <f ca="1">IF(OR($D26="",$D27="",BC$24=""),"",COUNTIF($CS$26:$CV$26,"&lt;5")+COUNTIF($CU$27:$CV$27,"&lt;5")+COUNTIF(INDIRECT("CU"&amp;MATCH(BC$24,$D$11:$D$13,0)+10&amp;":CV"&amp;MATCH(BC$24,$D$11:$D$13,0)+10),"&lt;5"))</f>
      </c>
      <c r="BB32" s="78"/>
      <c r="BC32" s="972">
        <f>COUNTIF(H26:K26,"&lt;5")</f>
        <v>0</v>
      </c>
      <c r="BD32" s="78"/>
      <c r="BE32" s="1109" t="s">
        <v>503</v>
      </c>
      <c r="BF32" s="1109">
        <f>IF(AND(ISNA(MATCH("ER",D29:D30,0))=TRUE,ISNA(MATCH("KR",D29:D30,0))=TRUE),"",IF(ISNA(MATCH("ER",D29:D30,0))=TRUE,MATCH("KR",D29:D30,0)+27,MATCH("ER",D29:D30,0)+27))</f>
        <v>28</v>
      </c>
      <c r="BG32" s="1057"/>
      <c r="BH32" s="273"/>
      <c r="BJ32" s="1233" t="s">
        <v>450</v>
      </c>
      <c r="BK32" s="1234" t="s">
        <v>522</v>
      </c>
      <c r="BL32" s="1233" t="s">
        <v>439</v>
      </c>
      <c r="BM32" s="1235" t="s">
        <v>523</v>
      </c>
      <c r="BN32" s="1235" t="s">
        <v>36</v>
      </c>
      <c r="BO32" s="1235" t="s">
        <v>524</v>
      </c>
      <c r="BP32" s="1235" t="s">
        <v>525</v>
      </c>
      <c r="BQ32" s="1449" t="s">
        <v>343</v>
      </c>
      <c r="BR32" s="1452"/>
      <c r="BS32" s="1455"/>
      <c r="BT32" s="1445">
        <f>H32</f>
      </c>
      <c r="BU32" s="1445">
        <f>I32</f>
      </c>
      <c r="BV32" s="1445">
        <f>J32</f>
      </c>
      <c r="BW32" s="1445">
        <f>K32</f>
      </c>
      <c r="BX32" s="255"/>
      <c r="BY32" s="1072"/>
      <c r="BZ32" s="393"/>
      <c r="CA32" s="1508">
        <f>IF(ISNA(MATCH(ADDRESS(ROW(BT32),COLUMN(BT32),4),$BX$38:$BX$49,0))=TRUE,"",IF(AND(VLOOKUP("PJK",$CH$38:$CK$49,3,FALSE)=35,$BY$34&lt;&gt;"",MAX(BT32:BW34)&lt;MAX(BT38:BT49)),"",IF(MATCH(ADDRESS(ROW(BT32),COLUMN(BT32),4),$BX$38:$BX$49,0)&gt;MAX($BV$38:$BV$49),"",BT32)))</f>
      </c>
      <c r="CB32" s="1508">
        <f>IF(ISNA(MATCH(ADDRESS(ROW(BU32),COLUMN(BU32),4),$BX$38:$BX$49,0))=TRUE,"",IF(AND(VLOOKUP("PJK",$CH$38:$CK$49,3,FALSE)=35,$BY$34&lt;&gt;"",MAX($BT$32:$BW$34)&lt;MAX($BT$38:$BT$49)),"",IF(MATCH(ADDRESS(ROW(BU32),COLUMN(BU32),4),$BX$38:$BX$49,0)&gt;MAX($BV$38:$BV$49),"",BU32)))</f>
      </c>
      <c r="CC32" s="1508">
        <f>IF(ISNA(MATCH(ADDRESS(ROW(BV32),COLUMN(BV32),4),$BX$38:$BX$49,0))=TRUE,"",IF(AND(VLOOKUP("PJK",$CH$38:$CK$49,3,FALSE)=35,$BY$34&lt;&gt;"",MAX($BT$32:$BW$34)&lt;MAX($BT$38:$BT$49)),"",IF(MATCH(ADDRESS(ROW(BV32),COLUMN(BV32),4),$BX$38:$BX$49,0)&gt;MAX($BV$38:$BV$49),"",BV32)))</f>
      </c>
      <c r="CD32" s="1508">
        <f>IF(ISNA(MATCH(ADDRESS(ROW(BW32),COLUMN(BW32),4),$BX$38:$BX$49,0))=TRUE,"",IF(AND(VLOOKUP("PJK",$CH$38:$CK$49,3,FALSE)=35,$BY$34&lt;&gt;"",MAX($BT$32:$BW$34)&lt;MAX($BT$38:$BT$49)),"",IF(MATCH(ADDRESS(ROW(BW32),COLUMN(BW32),4),$BX$38:$BX$49,0)&gt;MAX($BV$38:$BV$49),"",BW32)))</f>
      </c>
      <c r="CE32" s="1509"/>
      <c r="CF32" s="1508">
        <f>CA32</f>
      </c>
      <c r="CG32" s="1508">
        <f>CB32</f>
      </c>
      <c r="CH32" s="1508">
        <f>CC32</f>
      </c>
      <c r="CI32" s="1508">
        <f>CD32</f>
      </c>
      <c r="CJ32" s="1509"/>
      <c r="CK32" s="712"/>
      <c r="CL32" s="1509"/>
      <c r="CM32" s="1464" t="s">
        <v>430</v>
      </c>
      <c r="CN32" s="1465"/>
      <c r="CO32" s="1498">
        <f>IF(D32="","",D32)</f>
      </c>
      <c r="CP32" s="1500"/>
      <c r="CQ32" s="1485"/>
      <c r="CR32" s="1495"/>
      <c r="CS32" s="1468">
        <f>IF(Zulassung!H31="","",IF(COUNT(CT32)=1,BT32,IF(CF32&lt;&gt;"",CF32,"("&amp;Zulassung!H31&amp;")")))</f>
      </c>
      <c r="CT32" s="1468">
        <f>IF(Zulassung!I31="","",IF(COUNT(CU32)=1,BU32,IF(CG32&lt;&gt;"",CG32,"("&amp;Zulassung!I31&amp;")")))</f>
      </c>
      <c r="CU32" s="1468">
        <f>IF(Zulassung!J31="","",IF(COUNT(CV32)=1,BV32,IF(CH32&lt;&gt;"",CH32,"("&amp;Zulassung!J31&amp;")")))</f>
      </c>
      <c r="CV32" s="1468">
        <f>IF(Zulassung!K31="","",IF(CI32&lt;&gt;"",CI32,"("&amp;Zulassung!K31&amp;")"))</f>
      </c>
      <c r="CW32" s="1506">
        <f>IF(CO32="","",COUNT(H32:K34))</f>
      </c>
      <c r="CX32" s="1488">
        <f>IF(CO32="","",SUM(CS32:CV32))</f>
      </c>
      <c r="CY32" s="1296"/>
      <c r="CZ32" s="85"/>
      <c r="DA32" s="801"/>
      <c r="DB32" s="801"/>
      <c r="DC32" s="801"/>
      <c r="DD32" s="801"/>
      <c r="DE32" s="71">
        <f t="shared" si="22"/>
        <v>0</v>
      </c>
      <c r="DF32" s="71" t="str">
        <f t="shared" si="23"/>
        <v>0</v>
      </c>
      <c r="DG32" s="712"/>
      <c r="DH32" s="712"/>
      <c r="DI32" s="712"/>
      <c r="DJ32" s="1509"/>
      <c r="DK32" s="1483">
        <f t="shared" si="110"/>
      </c>
      <c r="DL32" s="1483">
        <f t="shared" si="111"/>
      </c>
      <c r="DM32" s="1483">
        <f t="shared" si="112"/>
      </c>
      <c r="DN32" s="1483">
        <f t="shared" si="113"/>
      </c>
      <c r="DO32" s="1509"/>
      <c r="DP32" s="1509"/>
      <c r="DQ32" s="1464" t="s">
        <v>430</v>
      </c>
      <c r="DR32" s="1465"/>
      <c r="DS32" s="1498">
        <f t="shared" si="25"/>
      </c>
      <c r="DT32" s="1500">
        <f t="shared" si="26"/>
        <v>0</v>
      </c>
      <c r="DU32" s="1485"/>
      <c r="DV32" s="1495"/>
      <c r="DW32" s="1503">
        <f aca="true" t="shared" si="121" ref="DW32:DZ34">IF(DK32="",CS32,DK32)</f>
      </c>
      <c r="DX32" s="1468">
        <f t="shared" si="121"/>
      </c>
      <c r="DY32" s="1468">
        <f t="shared" si="121"/>
      </c>
      <c r="DZ32" s="1468">
        <f t="shared" si="121"/>
      </c>
      <c r="EA32" s="1506">
        <f>CW32</f>
      </c>
      <c r="EB32" s="1488">
        <f>IF(DS32="","",SUM(DW32:DZ32))</f>
      </c>
      <c r="EC32" s="1296"/>
      <c r="ED32" s="85"/>
      <c r="EE32" s="801"/>
      <c r="EF32" s="801"/>
      <c r="EG32" s="71">
        <f t="shared" si="30"/>
        <v>0</v>
      </c>
      <c r="EH32" s="71" t="str">
        <f t="shared" si="31"/>
        <v>0</v>
      </c>
      <c r="EI32" s="712"/>
      <c r="EJ32" s="712"/>
      <c r="EK32" s="712"/>
      <c r="EL32" s="712"/>
      <c r="EM32" s="712"/>
      <c r="EN32" s="568" t="s">
        <v>343</v>
      </c>
      <c r="EO32" s="951"/>
      <c r="EP32" s="712"/>
      <c r="EQ32" s="324"/>
      <c r="ER32" s="950"/>
      <c r="ES32" s="391"/>
      <c r="ET32" s="391"/>
      <c r="EU32" s="958">
        <f t="shared" si="117"/>
      </c>
      <c r="EV32" s="958">
        <f t="shared" si="117"/>
      </c>
      <c r="EW32" s="958">
        <f t="shared" si="117"/>
      </c>
      <c r="EX32" s="958">
        <f t="shared" si="117"/>
      </c>
      <c r="EY32" s="934"/>
      <c r="EZ32" s="784"/>
      <c r="FA32" s="962"/>
      <c r="FB32" s="962">
        <f t="shared" si="36"/>
        <v>0</v>
      </c>
      <c r="FC32" s="758"/>
      <c r="FL32" s="1050">
        <f>IF(ISNA(MATCH(ADDRESS(ROW(EU32),COLUMN(EU32),4),$FT$11:$FT$22,0))=TRUE,"",IF(AND(MATCH(ADDRESS(ROW(EU32),COLUMN(EU32),4),$FT$11:$FT$22,0)&gt;MAX($FD$11:$FD$22),FM32=""),"",EU32))</f>
      </c>
      <c r="FM32" s="1050">
        <f>IF(ISNA(MATCH(ADDRESS(ROW(EV32),COLUMN(EV32),4),$FT$11:$FT$22,0))=TRUE,"",IF(AND(MATCH(ADDRESS(ROW(EV32),COLUMN(EV32),4),$FT$11:$FT$22,0)&gt;MAX($FD$11:$FD$22),FN32=""),"",EV32))</f>
      </c>
      <c r="FN32" s="1050">
        <f>IF(ISNA(MATCH(ADDRESS(ROW(EW32),COLUMN(EW32),4),$FT$11:$FT$22,0))=TRUE,"",IF(AND(MATCH(ADDRESS(ROW(EW32),COLUMN(EW32),4),$FT$11:$FT$22,0)&gt;MAX($FD$11:$FD$22),FO32=""),"",EW32))</f>
      </c>
      <c r="FO32" s="1050">
        <f>IF(ISNA(MATCH(ADDRESS(ROW(EX32),COLUMN(EX32),4),$FT$11:$FT$22,0))=TRUE,"",IF(AND(MATCH(ADDRESS(ROW(EX32),COLUMN(EX32),4),$FT$11:$FT$22,0)&gt;MAX($FD$11:$FD$22),FP32=""),"",EX32))</f>
      </c>
      <c r="FP32" s="891"/>
      <c r="FQ32" s="653"/>
      <c r="FR32" s="653"/>
      <c r="FS32" s="653"/>
      <c r="FT32" s="653"/>
      <c r="FU32" s="653"/>
      <c r="FV32" s="1015"/>
      <c r="FW32" s="1018">
        <f>$D32</f>
      </c>
      <c r="FX32" s="1020"/>
      <c r="FY32" s="618"/>
      <c r="FZ32" s="619"/>
      <c r="GA32" s="345">
        <f>IF($EE$41&lt;8,CS32,IF($EF$41=8,DW32,IF(EO32&lt;&gt;"",EO32,IF(FL32&lt;&gt;"",FL32,IF(H32="","","("&amp;H32&amp;")")))))</f>
      </c>
      <c r="GB32" s="345">
        <f>IF($EE$41&lt;8,CT32,IF($EF$41=8,DX32,IF(EP32&lt;&gt;"",EP32,IF(FM32&lt;&gt;"",FM32,IF(I32="","","("&amp;I32&amp;")")))))</f>
      </c>
      <c r="GC32" s="345">
        <f>IF($EE$41&lt;8,CU32,IF($EF$41=8,DY32,IF(EQ32&lt;&gt;"",EQ32,IF(FN32&lt;&gt;"",FN32,IF(J32="","","("&amp;J32&amp;")")))))</f>
      </c>
      <c r="GD32" s="345">
        <f>IF($EE$41&lt;8,CV32,IF($EF$41=8,DZ32,IF(ER32&lt;&gt;"",ER32,IF(FO32&lt;&gt;"",FO32,IF(K32="","","("&amp;K32&amp;")")))))</f>
      </c>
      <c r="GE32" s="1016">
        <f>IF(FW32="","",COUNT(CA32:CD34))</f>
      </c>
      <c r="GF32" s="1014">
        <f>IF(FW32="","",SUM(GA32:GD32))</f>
      </c>
      <c r="GG32" s="987"/>
      <c r="GH32" s="85"/>
      <c r="GI32" s="801"/>
      <c r="GJ32" s="801"/>
      <c r="GK32" s="71">
        <f t="shared" si="46"/>
        <v>0</v>
      </c>
      <c r="GL32" s="71" t="str">
        <f t="shared" si="47"/>
        <v>0</v>
      </c>
      <c r="GM32" s="71"/>
      <c r="GN32" s="71"/>
      <c r="GO32" s="71"/>
      <c r="GP32" s="71"/>
      <c r="GQ32" s="1063" t="e">
        <f>MATCH("FL"&amp;ROW(FL14),$GU$11:$GU$23,0)</f>
        <v>#N/A</v>
      </c>
      <c r="GR32" s="71"/>
      <c r="GS32" s="71"/>
      <c r="GT32" s="324"/>
      <c r="GU32" s="324"/>
      <c r="GV32" s="1064">
        <f t="shared" si="51"/>
      </c>
      <c r="GW32" s="1064">
        <f t="shared" si="52"/>
      </c>
      <c r="GX32" s="1064">
        <f t="shared" si="53"/>
      </c>
      <c r="GY32" s="1064">
        <f t="shared" si="54"/>
      </c>
      <c r="GZ32" s="393"/>
      <c r="HA32" s="324"/>
      <c r="HB32" s="1015"/>
      <c r="HC32" s="1018">
        <f>$D32</f>
      </c>
      <c r="HD32" s="1020"/>
      <c r="HE32" s="618"/>
      <c r="HF32" s="619"/>
      <c r="HG32" s="345">
        <f>GA32</f>
      </c>
      <c r="HH32" s="345">
        <f>GB32</f>
      </c>
      <c r="HI32" s="345">
        <f>GC32</f>
      </c>
      <c r="HJ32" s="345">
        <f>GD32</f>
      </c>
      <c r="HK32" s="1016">
        <f>IF(HC32="","",COUNT(HG32:HJ32))</f>
      </c>
      <c r="HL32" s="1014">
        <f>IF(HC32="","",SUM(HG32:HJ32))</f>
      </c>
      <c r="HM32" s="987"/>
      <c r="HN32" s="85"/>
      <c r="HO32" s="801"/>
      <c r="HP32" s="801"/>
      <c r="HQ32" s="71">
        <f t="shared" si="58"/>
        <v>0</v>
      </c>
      <c r="HR32" s="71" t="str">
        <f t="shared" si="59"/>
        <v>0</v>
      </c>
    </row>
    <row r="33" spans="2:226" ht="15" customHeight="1">
      <c r="B33" s="804"/>
      <c r="C33" s="1527"/>
      <c r="D33" s="831"/>
      <c r="E33" s="519"/>
      <c r="F33" s="834"/>
      <c r="G33" s="836"/>
      <c r="H33" s="1530"/>
      <c r="I33" s="1517"/>
      <c r="J33" s="1517"/>
      <c r="K33" s="1554"/>
      <c r="L33" s="1294"/>
      <c r="O33" s="681"/>
      <c r="P33" s="85"/>
      <c r="S33" s="306"/>
      <c r="T33" s="842">
        <f t="shared" si="60"/>
        <v>0</v>
      </c>
      <c r="U33" s="842"/>
      <c r="V33" s="842">
        <f t="shared" si="3"/>
        <v>0</v>
      </c>
      <c r="W33" s="842"/>
      <c r="Z33" s="842">
        <f t="shared" si="61"/>
      </c>
      <c r="AA33" s="511"/>
      <c r="AB33" s="512"/>
      <c r="AC33" s="512"/>
      <c r="AD33" s="512"/>
      <c r="AE33" s="255"/>
      <c r="AF33" s="255"/>
      <c r="AG33" s="255"/>
      <c r="AH33" s="255"/>
      <c r="AI33" s="255"/>
      <c r="AJ33" s="255"/>
      <c r="AK33" s="78"/>
      <c r="AL33" s="255"/>
      <c r="AM33" s="325"/>
      <c r="AN33" s="325">
        <f>Z27</f>
      </c>
      <c r="AO33" s="970">
        <f ca="1">IF(OR($D27="",$D25="",AS$24=""),"",COUNTIF($CS$27:$CV$27,"&lt;5")+COUNTIF($CU$25:$CV$25,"&lt;5")+COUNTIF(INDIRECT("CU"&amp;MATCH(AS$24,$D$11:$D$13,0)+10&amp;":CV"&amp;MATCH(AS$24,$D$11:$D$13,0)+10),"&lt;5"))</f>
      </c>
      <c r="AP33" s="938">
        <f ca="1">IF(OR($D27="",$D26="",AS$24=""),"",COUNTIF($CS$26:$CV$26,"&lt;5")+COUNTIF($CU$27:$CV$27,"&lt;5")+COUNTIF(INDIRECT("CU"&amp;MATCH(AS$24,$D$11:$D$13,0)+10&amp;":CV"&amp;MATCH(AS$24,$D$11:$D$13,0)+10),"&lt;5"))</f>
      </c>
      <c r="AQ33" s="968"/>
      <c r="AR33" s="248"/>
      <c r="AS33" s="78"/>
      <c r="AT33" s="970">
        <f ca="1">IF(OR($D27="",$D25="",AX$24=""),"",COUNTIF($CS$27:$CV$27,"&lt;5")+COUNTIF($CU$25:$CV$25,"&lt;5")+COUNTIF(INDIRECT("CU"&amp;MATCH(AX$24,$D$11:$D$13,0)+10&amp;":CV"&amp;MATCH(AX$24,$D$11:$D$13,0)+10),"&lt;5"))</f>
      </c>
      <c r="AU33" s="938">
        <f ca="1">IF(OR($D27="",$D26="",AX$24=""),"",COUNTIF($CS$26:$CV$26,"&lt;5")+COUNTIF($CU$27:$CV$27,"&lt;5")+COUNTIF(INDIRECT("CU"&amp;MATCH(AX$24,$D$11:$D$13,0)+10&amp;":CV"&amp;MATCH(AX$24,$D$11:$D$13,0)+10),"&lt;5"))</f>
      </c>
      <c r="AV33" s="968"/>
      <c r="AW33" s="78"/>
      <c r="AX33" s="78"/>
      <c r="AY33" s="970">
        <f ca="1">IF(OR($D27="",$D25="",BC$24=""),"",COUNTIF($CS$27:$CV$27,"&lt;5")+COUNTIF($CU$25:$CV$25,"&lt;5")+COUNTIF(INDIRECT("CU"&amp;MATCH(BC$24,$D$11:$D$13,0)+10&amp;":CV"&amp;MATCH(BC$24,$D$11:$D$13,0)+10),"&lt;5"))</f>
      </c>
      <c r="AZ33" s="938">
        <f ca="1">IF(OR($D27="",$D26="",BC$24=""),"",COUNTIF($CS$26:$CV$26,"&lt;5")+COUNTIF($CU$27:$CV$27,"&lt;5")+COUNTIF(INDIRECT("CU"&amp;MATCH(BC$24,$D$11:$D$13,0)+10&amp;":CV"&amp;MATCH(BC$24,$D$11:$D$13,0)+10),"&lt;5"))</f>
      </c>
      <c r="BA33" s="968"/>
      <c r="BB33" s="78"/>
      <c r="BC33" s="972">
        <f>COUNTIF(H27:K27,"&lt;5")</f>
        <v>0</v>
      </c>
      <c r="BD33" s="78"/>
      <c r="BG33" s="255"/>
      <c r="BH33" s="248"/>
      <c r="BI33" s="255"/>
      <c r="BJ33" s="1236" t="e">
        <f>IF(BM33&lt;&gt;0,$BM$32&amp;BM33,IF(BN33&lt;&gt;0,$BN$32&amp;BN33,IF(BO33&lt;&gt;0,$BO$32&amp;BO33,IF(BP33&lt;&gt;0,$BP$32&amp;BP33,""))))</f>
        <v>#NUM!</v>
      </c>
      <c r="BK33" s="1237" t="e">
        <f>LARGE($H$29:$K$30,1)</f>
        <v>#NUM!</v>
      </c>
      <c r="BL33" s="1238">
        <v>1</v>
      </c>
      <c r="BM33" s="1238" t="e">
        <f>IF(OR($BK$33="",ISERROR(MATCH($BK$33,$H$29:$H$30,0)=TRUE)),0,MATCH($BK$33,$H$29:$H$30,0)+28)</f>
        <v>#NUM!</v>
      </c>
      <c r="BN33" s="1238" t="e">
        <f>IF(OR($BK$33="",BM33&lt;&gt;0,ISERROR(MATCH($BK$33,$I$29:$I$30,0)=TRUE)),0,MATCH($BK$33,$I$29:$I$30,0)+28)</f>
        <v>#NUM!</v>
      </c>
      <c r="BO33" s="1238" t="e">
        <f>IF(OR($BK$33="",BM33&lt;&gt;0,BN33&lt;&gt;0,ISERROR(MATCH($BK$33,$J$29:$J$30,0)=TRUE)),0,MATCH($BK$33,$J$29:$J$30,0)+28)</f>
        <v>#NUM!</v>
      </c>
      <c r="BP33" s="1238" t="e">
        <f>IF(OR($BK$33="",BM33&lt;&gt;0,BN33&lt;&gt;0,BO33&lt;&gt;0,ISERROR(MATCH($BK$33,$K$29:$K$30,0)=TRUE)),0,MATCH($BK$33,$K$29:$K$30,0)+28)</f>
        <v>#NUM!</v>
      </c>
      <c r="BQ33" s="1450"/>
      <c r="BR33" s="1453"/>
      <c r="BS33" s="1456"/>
      <c r="BT33" s="1446"/>
      <c r="BU33" s="1446"/>
      <c r="BV33" s="1446"/>
      <c r="BW33" s="1446"/>
      <c r="BX33" s="255">
        <f>SUM(BT32:BW34)/2</f>
        <v>0</v>
      </c>
      <c r="BY33" s="1072">
        <f>IF(ISNA(MATCH("x",BY11:BY31,0))=TRUE,"",MATCH("x",BY11:BY31,0)+10)</f>
      </c>
      <c r="BZ33" s="393"/>
      <c r="CA33" s="1446">
        <f aca="true" t="shared" si="122" ref="CA33:CC34">IF(ISNA(MATCH(ADDRESS(ROW(A33),COLUMN(A33)),$BX$38:$BX$49,0))=TRUE,"",IF(MATCH(ADDRESS(ROW(A33),COLUMN(A33)),$BX$38:$BX$49,0)&gt;MAX($BV$38:$BV$49),"",A33))</f>
      </c>
      <c r="CB33" s="1446">
        <f t="shared" si="122"/>
      </c>
      <c r="CC33" s="1446">
        <f t="shared" si="122"/>
      </c>
      <c r="CD33" s="1446">
        <f>IF(ISNA(MATCH(ADDRESS(ROW(D33),COLUMN(D33)),$BX$38:$BX$49,0))=TRUE,"",IF(MATCH(ADDRESS(ROW(D33),COLUMN(D33)),$BX$38:$BX$49,0)&gt;MAX($BV$38:$BV$49),"",D33))</f>
      </c>
      <c r="CE33" s="1509"/>
      <c r="CF33" s="1446"/>
      <c r="CG33" s="1446"/>
      <c r="CH33" s="1446"/>
      <c r="CI33" s="1446"/>
      <c r="CJ33" s="1509"/>
      <c r="CK33" s="712"/>
      <c r="CL33" s="1509"/>
      <c r="CM33" s="1464"/>
      <c r="CN33" s="1465"/>
      <c r="CO33" s="1498"/>
      <c r="CP33" s="1501"/>
      <c r="CQ33" s="1486"/>
      <c r="CR33" s="1496"/>
      <c r="CS33" s="1469"/>
      <c r="CT33" s="1469"/>
      <c r="CU33" s="1469"/>
      <c r="CV33" s="1469"/>
      <c r="CW33" s="1362"/>
      <c r="CX33" s="1489"/>
      <c r="CY33" s="1297"/>
      <c r="CZ33" s="85"/>
      <c r="DA33" s="801"/>
      <c r="DB33" s="801"/>
      <c r="DC33" s="801"/>
      <c r="DD33" s="801"/>
      <c r="DE33" s="71"/>
      <c r="DF33" s="71"/>
      <c r="DG33" s="712"/>
      <c r="DH33" s="712"/>
      <c r="DI33" s="712"/>
      <c r="DJ33" s="1509"/>
      <c r="DK33" s="1483">
        <f t="shared" si="110"/>
      </c>
      <c r="DL33" s="1483">
        <f t="shared" si="111"/>
      </c>
      <c r="DM33" s="1483">
        <f t="shared" si="112"/>
      </c>
      <c r="DN33" s="1483">
        <f t="shared" si="113"/>
      </c>
      <c r="DO33" s="1509"/>
      <c r="DP33" s="1509"/>
      <c r="DQ33" s="1464"/>
      <c r="DR33" s="1465"/>
      <c r="DS33" s="1498">
        <f t="shared" si="25"/>
        <v>0</v>
      </c>
      <c r="DT33" s="1501">
        <f t="shared" si="26"/>
        <v>0</v>
      </c>
      <c r="DU33" s="1486"/>
      <c r="DV33" s="1496"/>
      <c r="DW33" s="1504">
        <f t="shared" si="121"/>
        <v>0</v>
      </c>
      <c r="DX33" s="1469">
        <f t="shared" si="121"/>
        <v>0</v>
      </c>
      <c r="DY33" s="1469">
        <f t="shared" si="121"/>
        <v>0</v>
      </c>
      <c r="DZ33" s="1469">
        <f t="shared" si="121"/>
        <v>0</v>
      </c>
      <c r="EA33" s="1362"/>
      <c r="EB33" s="1489"/>
      <c r="EC33" s="1297"/>
      <c r="ED33" s="85"/>
      <c r="EE33" s="801"/>
      <c r="EF33" s="801"/>
      <c r="EG33" s="71"/>
      <c r="EH33" s="71"/>
      <c r="EI33" s="712"/>
      <c r="EJ33" s="712"/>
      <c r="EK33" s="712"/>
      <c r="EL33" s="712"/>
      <c r="EM33" s="712"/>
      <c r="EN33" s="712"/>
      <c r="EO33" s="951"/>
      <c r="EP33" s="712"/>
      <c r="EQ33" s="324"/>
      <c r="ER33" s="950"/>
      <c r="ES33" s="391"/>
      <c r="ET33" s="391"/>
      <c r="EU33" s="758"/>
      <c r="EV33" s="757"/>
      <c r="EW33" s="934"/>
      <c r="EX33" s="934"/>
      <c r="EY33" s="934"/>
      <c r="EZ33" s="784"/>
      <c r="FA33" s="784"/>
      <c r="FB33" s="784"/>
      <c r="FC33" s="758"/>
      <c r="FL33" s="1050"/>
      <c r="FM33" s="1050"/>
      <c r="FN33" s="1050"/>
      <c r="FO33" s="1050"/>
      <c r="FP33" s="891"/>
      <c r="FQ33" s="653"/>
      <c r="FR33" s="653"/>
      <c r="FS33" s="653"/>
      <c r="FT33" s="653"/>
      <c r="FU33" s="653"/>
      <c r="FV33" s="1015"/>
      <c r="FW33" s="1018"/>
      <c r="FX33" s="1020"/>
      <c r="FY33" s="618"/>
      <c r="FZ33" s="619"/>
      <c r="GA33" s="865"/>
      <c r="GB33" s="866"/>
      <c r="GC33" s="866"/>
      <c r="GD33" s="866"/>
      <c r="GE33" s="49"/>
      <c r="GF33" s="864"/>
      <c r="GG33" s="863"/>
      <c r="GH33" s="85"/>
      <c r="GI33" s="801"/>
      <c r="GJ33" s="801"/>
      <c r="GK33" s="71"/>
      <c r="GL33" s="71"/>
      <c r="GM33" s="71"/>
      <c r="GN33" s="71"/>
      <c r="GO33" s="71"/>
      <c r="GP33" s="71"/>
      <c r="GQ33" s="1063" t="e">
        <f>MATCH("FL"&amp;ROW(FL15),$GU$11:$GU$23,0)</f>
        <v>#N/A</v>
      </c>
      <c r="GR33" s="71"/>
      <c r="GS33" s="71"/>
      <c r="GT33" s="324"/>
      <c r="GU33" s="324"/>
      <c r="GV33" s="1050"/>
      <c r="GW33" s="1050"/>
      <c r="GX33" s="1050"/>
      <c r="GY33" s="1050"/>
      <c r="GZ33" s="393"/>
      <c r="HA33" s="324"/>
      <c r="HB33" s="1015"/>
      <c r="HC33" s="1018"/>
      <c r="HD33" s="1020"/>
      <c r="HE33" s="618"/>
      <c r="HF33" s="619"/>
      <c r="HG33" s="865"/>
      <c r="HH33" s="866"/>
      <c r="HI33" s="866"/>
      <c r="HJ33" s="866"/>
      <c r="HK33" s="49"/>
      <c r="HL33" s="864"/>
      <c r="HM33" s="863"/>
      <c r="HN33" s="85"/>
      <c r="HO33" s="801"/>
      <c r="HP33" s="801"/>
      <c r="HQ33" s="71"/>
      <c r="HR33" s="71"/>
    </row>
    <row r="34" spans="2:226" ht="15" customHeight="1">
      <c r="B34" s="804"/>
      <c r="C34" s="1528"/>
      <c r="D34" s="832"/>
      <c r="E34" s="520"/>
      <c r="F34" s="522"/>
      <c r="G34" s="523"/>
      <c r="H34" s="1531"/>
      <c r="I34" s="1518"/>
      <c r="J34" s="1518"/>
      <c r="K34" s="1555"/>
      <c r="L34" s="1557"/>
      <c r="O34" s="681"/>
      <c r="P34" s="85"/>
      <c r="S34" s="306"/>
      <c r="T34" s="842">
        <f t="shared" si="60"/>
        <v>0</v>
      </c>
      <c r="U34" s="842"/>
      <c r="V34" s="842">
        <f t="shared" si="3"/>
        <v>0</v>
      </c>
      <c r="W34" s="842"/>
      <c r="Z34" s="842">
        <f t="shared" si="61"/>
      </c>
      <c r="AA34" s="503"/>
      <c r="AB34" s="502"/>
      <c r="AC34" s="502"/>
      <c r="AD34" s="502"/>
      <c r="AE34" s="275"/>
      <c r="AF34" s="275"/>
      <c r="AG34" s="275"/>
      <c r="AH34" s="275"/>
      <c r="AI34" s="275"/>
      <c r="AJ34" s="275"/>
      <c r="AK34" s="277"/>
      <c r="AL34" s="275"/>
      <c r="AM34" s="322"/>
      <c r="AN34" s="322">
        <f>Z28</f>
      </c>
      <c r="AO34" s="956"/>
      <c r="AP34" s="956"/>
      <c r="AQ34" s="956"/>
      <c r="AR34" s="275"/>
      <c r="AS34" s="277"/>
      <c r="AT34" s="956"/>
      <c r="AU34" s="956"/>
      <c r="AV34" s="956"/>
      <c r="AW34" s="275"/>
      <c r="AX34" s="277"/>
      <c r="AY34" s="956"/>
      <c r="AZ34" s="956"/>
      <c r="BA34" s="956"/>
      <c r="BB34" s="275"/>
      <c r="BC34" s="277"/>
      <c r="BD34" s="277"/>
      <c r="BG34" s="255"/>
      <c r="BH34" s="248"/>
      <c r="BI34" s="255"/>
      <c r="BJ34" s="1236">
        <f>IF(BM34&lt;&gt;0,$BM$32&amp;BM34,IF(BN34&lt;&gt;0,$BN$32&amp;BN34,IF(BO34&lt;&gt;0,$BO$32&amp;BO34,IF(BP34&lt;&gt;0,$BP$32&amp;BP34,""))))</f>
      </c>
      <c r="BK34" s="1238">
        <f>IF(COUNT(H29:K30)&lt;2,"",LARGE($H$29:$K$30,2))</f>
      </c>
      <c r="BL34" s="1238">
        <v>2</v>
      </c>
      <c r="BM34" s="1238">
        <f ca="1">IF(OR($BK34="",ISERROR(MATCH($BK34,H29:H30,0))=TRUE),0,IF(OR(AND(COUNTIF(H29:H30,$BK34)=1,ISNA(MATCH(MATCH($BK34,H29:H30,0)+28,BM33:BM33,0)=TRUE)),AND(COUNTIF(H29:H30,$BK34)&gt;=2,$BK34&lt;&gt;$BK33)),MATCH($BK34,H29:H30,0)+28,IF(AND(COUNTIF(H29:H30,$BK34)&gt;=2,COUNTIF(INDIRECT("BM$"&amp;MATCH($BK34,$BK33:$BK34,0)+31):BM33,"&gt;0")&lt;COUNTIF(H29:H30,$BK34)),MATCH($BK34,INDIRECT("H"&amp;BM33+1):H30,0)+BM33,0)))</f>
        <v>0</v>
      </c>
      <c r="BN34" s="1238">
        <f ca="1">IF(OR($BK34="",BM34&lt;&gt;0,ISERROR(MATCH($BK34,I29:I30,0))=TRUE),0,IF(OR(AND(COUNTIF(I29:I30,$BK34)=1,ISNA(MATCH(MATCH($BK34,I29:I30,0)+28,BN33:BN33,0)=TRUE)),AND(COUNTIF(I29:I30,$BK34)&gt;=2,$BK34&lt;&gt;$BK33)),MATCH($BK34,I29:I30,0)+28,IF(AND(COUNTIF(I29:I30,$BK34)&gt;=2,COUNTIF(INDIRECT("BN$"&amp;MATCH($BK34,$BK33:$BK34,0)+31):BN33,"&gt;0")&lt;COUNTIF(I29:I30,$BK34)),MATCH($BK34,INDIRECT("I"&amp;BN33+1):I30,0)+BN33,0)))</f>
        <v>0</v>
      </c>
      <c r="BO34" s="1238">
        <f ca="1">IF(OR($BK34="",BM34&lt;&gt;0,BN34&lt;&gt;0,ISERROR(MATCH($BK34,J29:J30,0))=TRUE),0,IF(OR(AND(COUNTIF(J29:J30,$BK34)=1,ISNA(MATCH(MATCH($BK34,J29:J30,0)+28,BO33:BO33,0)=TRUE)),AND(COUNTIF(J29:J30,$BK34)&gt;=2,$BK34&lt;&gt;$BK33)),MATCH($BK34,J29:J30,0)+28,IF(AND(COUNTIF(J29:J30,$BK34)&gt;=2,COUNTIF(INDIRECT("BO$"&amp;MATCH($BK34,$BK33:$BK34,0)+31):BO33,"&gt;0")&lt;COUNTIF(J29:J30,$BK34)),MATCH($BK34,INDIRECT("J"&amp;BO33+1):J30,0)+BO33,0)))</f>
        <v>0</v>
      </c>
      <c r="BP34" s="1238">
        <f ca="1">IF(OR($BK34="",BM34&lt;&gt;0,BN34&lt;&gt;0,BO34&lt;&gt;0,ISERROR(MATCH($BK34,K29:K30,0))=TRUE),0,IF(OR(AND(COUNTIF(K29:K30,$BK34)=1,ISNA(MATCH(MATCH($BK34,K29:K30,0)+28,BP33:BP33,0)=TRUE)),AND(COUNTIF(K29:K30,$BK34)&gt;=2,$BK34&lt;&gt;$BK33)),MATCH($BK34,K29:K30,0)+28,IF(AND(COUNTIF(K29:K30,$BK34)&gt;=2,COUNTIF(INDIRECT("BP$"&amp;MATCH($BK34,$BK33:$BK34,0)+31):BP33,"&gt;0")&lt;COUNTIF(K29:K30,$BK34)),MATCH($BK34,INDIRECT("K"&amp;BP33+1):K30,0)+BP33,0)))</f>
        <v>0</v>
      </c>
      <c r="BQ34" s="1451"/>
      <c r="BR34" s="1454"/>
      <c r="BS34" s="1457"/>
      <c r="BT34" s="1447"/>
      <c r="BU34" s="1447"/>
      <c r="BV34" s="1447"/>
      <c r="BW34" s="1447"/>
      <c r="BX34" s="255"/>
      <c r="BY34" s="1072">
        <f ca="1">IF(BY33="","",ADDRESS(VALUE(BY33),VALUE(MATCH(BX33,INDIRECT("BT"&amp;MATCH("x",BY11:BY31,0)+10&amp;":BW"&amp;MATCH("x",BY11:BY31,0)+10),0))+71,4))</f>
      </c>
      <c r="BZ34" s="393"/>
      <c r="CA34" s="1447">
        <f t="shared" si="122"/>
      </c>
      <c r="CB34" s="1447">
        <f t="shared" si="122"/>
      </c>
      <c r="CC34" s="1447">
        <f t="shared" si="122"/>
      </c>
      <c r="CD34" s="1447">
        <f>IF(ISNA(MATCH(ADDRESS(ROW(D34),COLUMN(D34)),$BX$38:$BX$49,0))=TRUE,"",IF(MATCH(ADDRESS(ROW(D34),COLUMN(D34)),$BX$38:$BX$49,0)&gt;MAX($BV$38:$BV$49),"",D34))</f>
      </c>
      <c r="CE34" s="1509"/>
      <c r="CF34" s="1447"/>
      <c r="CG34" s="1447"/>
      <c r="CH34" s="1447"/>
      <c r="CI34" s="1447"/>
      <c r="CJ34" s="1509"/>
      <c r="CK34" s="712"/>
      <c r="CL34" s="1509"/>
      <c r="CM34" s="1466"/>
      <c r="CN34" s="1467"/>
      <c r="CO34" s="1499"/>
      <c r="CP34" s="1502"/>
      <c r="CQ34" s="1487"/>
      <c r="CR34" s="1497"/>
      <c r="CS34" s="1470"/>
      <c r="CT34" s="1470"/>
      <c r="CU34" s="1470"/>
      <c r="CV34" s="1470"/>
      <c r="CW34" s="1507"/>
      <c r="CX34" s="1490"/>
      <c r="CY34" s="1458"/>
      <c r="CZ34" s="85"/>
      <c r="DA34" s="801"/>
      <c r="DB34" s="801"/>
      <c r="DC34" s="801"/>
      <c r="DD34" s="801"/>
      <c r="DE34" s="71"/>
      <c r="DF34" s="71"/>
      <c r="DG34" s="712"/>
      <c r="DH34" s="712"/>
      <c r="DI34" s="712"/>
      <c r="DJ34" s="1509"/>
      <c r="DK34" s="1484">
        <f t="shared" si="110"/>
      </c>
      <c r="DL34" s="1484">
        <f t="shared" si="111"/>
      </c>
      <c r="DM34" s="1484">
        <f t="shared" si="112"/>
      </c>
      <c r="DN34" s="1484">
        <f t="shared" si="113"/>
      </c>
      <c r="DO34" s="1509"/>
      <c r="DP34" s="1509"/>
      <c r="DQ34" s="1466"/>
      <c r="DR34" s="1467"/>
      <c r="DS34" s="1499">
        <f t="shared" si="25"/>
        <v>0</v>
      </c>
      <c r="DT34" s="1502">
        <f t="shared" si="26"/>
        <v>0</v>
      </c>
      <c r="DU34" s="1487"/>
      <c r="DV34" s="1497"/>
      <c r="DW34" s="1505">
        <f t="shared" si="121"/>
        <v>0</v>
      </c>
      <c r="DX34" s="1470">
        <f t="shared" si="121"/>
        <v>0</v>
      </c>
      <c r="DY34" s="1470">
        <f t="shared" si="121"/>
        <v>0</v>
      </c>
      <c r="DZ34" s="1470">
        <f t="shared" si="121"/>
        <v>0</v>
      </c>
      <c r="EA34" s="1507"/>
      <c r="EB34" s="1490"/>
      <c r="EC34" s="1458"/>
      <c r="ED34" s="85"/>
      <c r="EE34" s="801"/>
      <c r="EF34" s="801"/>
      <c r="EG34" s="71"/>
      <c r="EH34" s="71"/>
      <c r="EI34" s="712"/>
      <c r="EJ34" s="712"/>
      <c r="EK34" s="712"/>
      <c r="EL34" s="712"/>
      <c r="EM34" s="712"/>
      <c r="EN34" s="712"/>
      <c r="EO34" s="952"/>
      <c r="EP34" s="953"/>
      <c r="EQ34" s="321"/>
      <c r="ER34" s="954"/>
      <c r="ES34" s="391"/>
      <c r="ET34" s="391"/>
      <c r="EU34" s="758"/>
      <c r="EV34" s="757"/>
      <c r="EW34" s="934"/>
      <c r="EX34" s="934"/>
      <c r="EY34" s="934"/>
      <c r="EZ34" s="784"/>
      <c r="FA34" s="784"/>
      <c r="FB34" s="784"/>
      <c r="FC34" s="758"/>
      <c r="FL34" s="1051"/>
      <c r="FM34" s="1051"/>
      <c r="FN34" s="1051"/>
      <c r="FO34" s="1051"/>
      <c r="FP34" s="891"/>
      <c r="FQ34" s="653"/>
      <c r="FR34" s="653"/>
      <c r="FS34" s="653"/>
      <c r="FT34" s="653"/>
      <c r="FU34" s="653"/>
      <c r="FV34" s="1015"/>
      <c r="FW34" s="1019"/>
      <c r="FX34" s="1021"/>
      <c r="FY34" s="263"/>
      <c r="FZ34" s="264"/>
      <c r="GA34" s="1013"/>
      <c r="GB34" s="1011"/>
      <c r="GC34" s="1011"/>
      <c r="GD34" s="1011"/>
      <c r="GE34" s="1017"/>
      <c r="GF34" s="72"/>
      <c r="GG34" s="1012"/>
      <c r="GH34" s="85"/>
      <c r="GI34" s="801"/>
      <c r="GJ34" s="801"/>
      <c r="GK34" s="71"/>
      <c r="GL34" s="71"/>
      <c r="GM34" s="71"/>
      <c r="GN34" s="71"/>
      <c r="GO34" s="71"/>
      <c r="GP34" s="71"/>
      <c r="GQ34" s="1063"/>
      <c r="GR34" s="71"/>
      <c r="GS34" s="71"/>
      <c r="GT34" s="324"/>
      <c r="GU34" s="324"/>
      <c r="GV34" s="1051"/>
      <c r="GW34" s="1051"/>
      <c r="GX34" s="1051"/>
      <c r="GY34" s="1051"/>
      <c r="GZ34" s="393"/>
      <c r="HA34" s="324"/>
      <c r="HB34" s="1015"/>
      <c r="HC34" s="1019"/>
      <c r="HD34" s="1021"/>
      <c r="HE34" s="263"/>
      <c r="HF34" s="264"/>
      <c r="HG34" s="1013"/>
      <c r="HH34" s="1011"/>
      <c r="HI34" s="1011"/>
      <c r="HJ34" s="1011"/>
      <c r="HK34" s="1017"/>
      <c r="HL34" s="72"/>
      <c r="HM34" s="1012"/>
      <c r="HN34" s="85"/>
      <c r="HO34" s="801"/>
      <c r="HP34" s="801"/>
      <c r="HQ34" s="71"/>
      <c r="HR34" s="71"/>
    </row>
    <row r="35" spans="2:226" ht="15" customHeight="1">
      <c r="B35" s="1523" t="s">
        <v>363</v>
      </c>
      <c r="C35" s="1524"/>
      <c r="D35" s="337">
        <f>IF(Zulassung!D34="","",Zulassung!D34)</f>
      </c>
      <c r="E35" s="519"/>
      <c r="F35" s="515"/>
      <c r="G35" s="516"/>
      <c r="H35" s="524"/>
      <c r="I35" s="525"/>
      <c r="J35" s="525"/>
      <c r="K35" s="526"/>
      <c r="L35" s="806"/>
      <c r="N35" s="374">
        <f>IF(OR(N36&lt;&gt;"",N37&lt;&gt;""),"Defizit(e) :","")</f>
      </c>
      <c r="P35" s="85"/>
      <c r="S35" s="306"/>
      <c r="T35" s="71"/>
      <c r="U35" s="71"/>
      <c r="V35" s="71"/>
      <c r="W35" s="71"/>
      <c r="Z35" s="842" t="s">
        <v>174</v>
      </c>
      <c r="AA35" s="842"/>
      <c r="AB35" s="842" t="str">
        <f>IF(OR(COUNTIF(L11:L13,4)&gt;1,COUNTIF(L25:L28,4)&gt;1),4,"F")</f>
        <v>F</v>
      </c>
      <c r="AC35" s="842">
        <v>4</v>
      </c>
      <c r="AD35" s="842" t="str">
        <f>IF(AB35=AC35,"W","F")</f>
        <v>F</v>
      </c>
      <c r="AE35" s="275"/>
      <c r="AF35" s="275"/>
      <c r="AG35" s="275"/>
      <c r="AH35" s="275"/>
      <c r="AI35" s="275"/>
      <c r="AJ35" s="314"/>
      <c r="AK35" s="331"/>
      <c r="AL35" s="314"/>
      <c r="AM35" s="332"/>
      <c r="AN35" s="332"/>
      <c r="AO35" s="331"/>
      <c r="AP35" s="331"/>
      <c r="AQ35" s="331"/>
      <c r="AR35" s="331"/>
      <c r="AS35" s="331"/>
      <c r="AT35" s="331"/>
      <c r="AU35" s="331"/>
      <c r="AV35" s="331"/>
      <c r="AW35" s="331"/>
      <c r="AX35" s="331"/>
      <c r="AY35" s="331"/>
      <c r="AZ35" s="331"/>
      <c r="BA35" s="331"/>
      <c r="BB35" s="331"/>
      <c r="BC35" s="331"/>
      <c r="BD35" s="331"/>
      <c r="BE35" s="331"/>
      <c r="BF35" s="331"/>
      <c r="BG35" s="331"/>
      <c r="BH35" s="331"/>
      <c r="BI35" s="331"/>
      <c r="BQ35" s="331"/>
      <c r="BR35" s="331"/>
      <c r="BS35" s="331"/>
      <c r="BT35" s="331"/>
      <c r="BU35" s="331"/>
      <c r="BV35" s="377"/>
      <c r="BW35" s="377"/>
      <c r="BX35" s="377"/>
      <c r="BY35" s="329"/>
      <c r="BZ35" s="329"/>
      <c r="CA35" s="378"/>
      <c r="CB35" s="378"/>
      <c r="CC35" s="378"/>
      <c r="CD35" s="378"/>
      <c r="CE35" s="918"/>
      <c r="CF35" s="329"/>
      <c r="CG35" s="255"/>
      <c r="CH35" s="255"/>
      <c r="CI35" s="255"/>
      <c r="CJ35" s="255"/>
      <c r="CK35" s="255"/>
      <c r="CL35" s="255"/>
      <c r="CM35" s="1519" t="s">
        <v>192</v>
      </c>
      <c r="CN35" s="1520"/>
      <c r="CO35" s="42"/>
      <c r="CP35" s="291"/>
      <c r="CQ35" s="259"/>
      <c r="CR35" s="260"/>
      <c r="CS35" s="496"/>
      <c r="CT35" s="497"/>
      <c r="CU35" s="498"/>
      <c r="CV35" s="920"/>
      <c r="CW35" s="257"/>
      <c r="CX35" s="338"/>
      <c r="CY35" s="339"/>
      <c r="CZ35" s="79"/>
      <c r="DA35" s="801"/>
      <c r="DB35" s="801"/>
      <c r="DC35" s="801"/>
      <c r="DD35" s="801"/>
      <c r="DE35" s="71"/>
      <c r="DF35" s="71"/>
      <c r="DG35" s="255"/>
      <c r="DH35" s="255"/>
      <c r="DI35" s="255"/>
      <c r="DJ35" s="255"/>
      <c r="DK35" s="378"/>
      <c r="DL35" s="378"/>
      <c r="DM35" s="378"/>
      <c r="DN35" s="378"/>
      <c r="DO35" s="255"/>
      <c r="DP35" s="255"/>
      <c r="DQ35" s="1519" t="s">
        <v>192</v>
      </c>
      <c r="DR35" s="1520"/>
      <c r="DS35" s="42"/>
      <c r="DT35" s="291"/>
      <c r="DU35" s="259"/>
      <c r="DV35" s="260"/>
      <c r="DW35" s="496"/>
      <c r="DX35" s="497"/>
      <c r="DY35" s="498"/>
      <c r="DZ35" s="920"/>
      <c r="EA35" s="257"/>
      <c r="EB35" s="338"/>
      <c r="EC35" s="339"/>
      <c r="ED35" s="79"/>
      <c r="EE35" s="801"/>
      <c r="EF35" s="801"/>
      <c r="EG35" s="71"/>
      <c r="EH35" s="71"/>
      <c r="EI35" s="255"/>
      <c r="EJ35" s="255"/>
      <c r="EK35" s="255"/>
      <c r="EL35" s="255"/>
      <c r="EM35" s="255"/>
      <c r="EN35" s="255"/>
      <c r="EO35" s="255"/>
      <c r="EP35" s="255"/>
      <c r="EQ35" s="255"/>
      <c r="ER35" s="255"/>
      <c r="ES35" s="255"/>
      <c r="ET35" s="393"/>
      <c r="EU35" s="393"/>
      <c r="EV35" s="393"/>
      <c r="EW35" s="393"/>
      <c r="EX35" s="393"/>
      <c r="EY35" s="324"/>
      <c r="EZ35" s="324"/>
      <c r="FA35" s="324"/>
      <c r="FB35" s="324"/>
      <c r="FC35" s="758"/>
      <c r="FD35" s="758"/>
      <c r="FE35" s="672"/>
      <c r="FQ35" s="653"/>
      <c r="FR35" s="653"/>
      <c r="FS35" s="653"/>
      <c r="FT35" s="653"/>
      <c r="FU35" s="653"/>
      <c r="FV35" s="1015"/>
      <c r="FW35" s="42"/>
      <c r="FX35" s="291"/>
      <c r="FY35" s="259"/>
      <c r="FZ35" s="260"/>
      <c r="GA35" s="496"/>
      <c r="GB35" s="497"/>
      <c r="GC35" s="498"/>
      <c r="GD35" s="920"/>
      <c r="GE35" s="257"/>
      <c r="GF35" s="338"/>
      <c r="GG35" s="339"/>
      <c r="GH35" s="79"/>
      <c r="GI35" s="801"/>
      <c r="GJ35" s="801"/>
      <c r="GK35" s="71"/>
      <c r="GL35" s="71"/>
      <c r="GM35" s="71"/>
      <c r="GN35" s="71"/>
      <c r="GO35" s="71"/>
      <c r="GP35" s="71"/>
      <c r="GQ35" s="71"/>
      <c r="GR35" s="71"/>
      <c r="GS35" s="71"/>
      <c r="GT35" s="324"/>
      <c r="GU35" s="324"/>
      <c r="GV35" s="324"/>
      <c r="GW35" s="393"/>
      <c r="GX35" s="393"/>
      <c r="GY35" s="393"/>
      <c r="GZ35" s="393"/>
      <c r="HA35" s="324"/>
      <c r="HB35" s="1015"/>
      <c r="HC35" s="42"/>
      <c r="HD35" s="291"/>
      <c r="HE35" s="259"/>
      <c r="HF35" s="260"/>
      <c r="HG35" s="496"/>
      <c r="HH35" s="497"/>
      <c r="HI35" s="498"/>
      <c r="HJ35" s="920"/>
      <c r="HK35" s="257"/>
      <c r="HL35" s="338"/>
      <c r="HM35" s="339"/>
      <c r="HN35" s="79"/>
      <c r="HO35" s="801"/>
      <c r="HP35" s="801"/>
      <c r="HQ35" s="71"/>
      <c r="HR35" s="71"/>
    </row>
    <row r="36" spans="2:222" ht="15" customHeight="1">
      <c r="B36" s="1523"/>
      <c r="C36" s="1523"/>
      <c r="D36" s="337">
        <f>IF(Zulassung!D35="","",Zulassung!D35)</f>
      </c>
      <c r="E36" s="521"/>
      <c r="F36" s="515"/>
      <c r="G36" s="516"/>
      <c r="H36" s="527"/>
      <c r="I36" s="528"/>
      <c r="J36" s="528"/>
      <c r="K36" s="529"/>
      <c r="L36" s="805"/>
      <c r="N36" s="379">
        <f>IF(SUM(U10:U31)=0,"",SUM(U10:U31))</f>
      </c>
      <c r="O36" s="381">
        <f>IF(OR(N36="",N36=0),"",IF(N36=1,"im Lk","in Lk's"))</f>
      </c>
      <c r="P36" s="85"/>
      <c r="S36" s="306"/>
      <c r="T36" s="71"/>
      <c r="U36" s="71"/>
      <c r="V36" s="71"/>
      <c r="W36" s="71"/>
      <c r="Z36" s="33"/>
      <c r="AA36" s="33"/>
      <c r="AB36" s="33"/>
      <c r="AJ36" s="842">
        <f>IF(AJ25="","",AJ7&amp;ROW(AJ25))&amp;IF(AJ26="","",AJ7&amp;ROW(AJ26))&amp;IF(AJ27="","",AJ7&amp;ROW(AJ27))</f>
      </c>
      <c r="AK36" s="325"/>
      <c r="AL36" s="255"/>
      <c r="AN36" s="290" t="s">
        <v>438</v>
      </c>
      <c r="AO36" s="290"/>
      <c r="AP36" s="86"/>
      <c r="AR36" s="404"/>
      <c r="AY36" s="78"/>
      <c r="AZ36" s="78"/>
      <c r="BC36" s="78"/>
      <c r="BD36" s="78"/>
      <c r="BE36" s="842">
        <f>IF(BE25="","",ROW(BE25))</f>
      </c>
      <c r="BF36" s="842">
        <f>IF(AJ28&lt;&gt;"","",TRIM(BF11&amp;BF12&amp;BF13&amp;BF25&amp;BF26&amp;BF27&amp;BF28))</f>
      </c>
      <c r="BG36" s="78"/>
      <c r="BH36" s="78"/>
      <c r="BI36" s="78"/>
      <c r="BJ36" s="78"/>
      <c r="BK36" s="255"/>
      <c r="BL36" s="255"/>
      <c r="BM36" s="78"/>
      <c r="BN36" s="78"/>
      <c r="BO36" s="255"/>
      <c r="BP36" s="255"/>
      <c r="BQ36" s="333"/>
      <c r="BR36" s="333"/>
      <c r="BS36" s="333"/>
      <c r="BT36" s="255"/>
      <c r="BU36" s="255"/>
      <c r="BV36" s="255"/>
      <c r="BW36" s="255"/>
      <c r="BX36" s="842"/>
      <c r="BY36" s="327"/>
      <c r="BZ36" s="327"/>
      <c r="CA36" s="327"/>
      <c r="CB36" s="327"/>
      <c r="CC36" s="923" t="s">
        <v>442</v>
      </c>
      <c r="CD36" s="649"/>
      <c r="CE36" s="924"/>
      <c r="CF36" s="925"/>
      <c r="CG36" s="327"/>
      <c r="CH36" s="327"/>
      <c r="CI36" s="327"/>
      <c r="CJ36" s="327"/>
      <c r="CK36" s="290"/>
      <c r="CL36" s="290"/>
      <c r="CM36" s="1464"/>
      <c r="CN36" s="1465"/>
      <c r="CO36" s="42"/>
      <c r="CP36" s="292"/>
      <c r="CQ36" s="259"/>
      <c r="CR36" s="260"/>
      <c r="CS36" s="281"/>
      <c r="CT36" s="282"/>
      <c r="CU36" s="283"/>
      <c r="CV36" s="921"/>
      <c r="CW36" s="50"/>
      <c r="CX36" s="340"/>
      <c r="CY36" s="341"/>
      <c r="CZ36" s="79"/>
      <c r="DA36" s="33"/>
      <c r="DB36" s="33"/>
      <c r="DC36" s="33"/>
      <c r="DD36" s="33"/>
      <c r="DE36" s="248"/>
      <c r="DF36" s="248"/>
      <c r="DG36" s="248"/>
      <c r="DH36" s="61"/>
      <c r="DI36" s="290"/>
      <c r="DJ36" s="290"/>
      <c r="DK36" s="248"/>
      <c r="DL36" s="248"/>
      <c r="DM36" s="248"/>
      <c r="DN36" s="61"/>
      <c r="DO36" s="290"/>
      <c r="DP36" s="290"/>
      <c r="DQ36" s="1464"/>
      <c r="DR36" s="1465"/>
      <c r="DS36" s="42"/>
      <c r="DT36" s="292"/>
      <c r="DU36" s="259"/>
      <c r="DV36" s="260"/>
      <c r="DW36" s="281"/>
      <c r="DX36" s="282"/>
      <c r="DY36" s="283"/>
      <c r="DZ36" s="921"/>
      <c r="EA36" s="50"/>
      <c r="EB36" s="340"/>
      <c r="EC36" s="341"/>
      <c r="ED36" s="79"/>
      <c r="EE36" s="33"/>
      <c r="EF36" s="33"/>
      <c r="EG36" s="248"/>
      <c r="EH36" s="248"/>
      <c r="EI36" s="248"/>
      <c r="EJ36" s="248"/>
      <c r="EK36" s="248"/>
      <c r="EL36" s="61"/>
      <c r="EM36" s="61"/>
      <c r="EN36" s="290"/>
      <c r="EO36" s="290"/>
      <c r="EP36" s="327"/>
      <c r="EQ36" s="327"/>
      <c r="ER36" s="327"/>
      <c r="ES36" s="327"/>
      <c r="ET36" s="393"/>
      <c r="EU36" s="393"/>
      <c r="EV36" s="393"/>
      <c r="EW36" s="393"/>
      <c r="EX36" s="393"/>
      <c r="EY36" s="324"/>
      <c r="EZ36" s="324"/>
      <c r="FA36" s="324"/>
      <c r="FB36" s="324"/>
      <c r="FC36" s="758"/>
      <c r="FD36" s="758"/>
      <c r="FE36" s="672"/>
      <c r="FQ36" s="653"/>
      <c r="FR36" s="653"/>
      <c r="FS36" s="653"/>
      <c r="FT36" s="653"/>
      <c r="FU36" s="653"/>
      <c r="FV36" s="1015"/>
      <c r="FW36" s="42"/>
      <c r="FX36" s="292"/>
      <c r="FY36" s="259"/>
      <c r="FZ36" s="260"/>
      <c r="GA36" s="281"/>
      <c r="GB36" s="282"/>
      <c r="GC36" s="283"/>
      <c r="GD36" s="921"/>
      <c r="GE36" s="50"/>
      <c r="GF36" s="340"/>
      <c r="GG36" s="341"/>
      <c r="GH36" s="79"/>
      <c r="GJ36" s="33"/>
      <c r="GK36" s="33"/>
      <c r="GT36" s="324"/>
      <c r="GU36" s="324"/>
      <c r="GV36" s="324"/>
      <c r="GW36" s="324"/>
      <c r="GX36" s="324"/>
      <c r="GY36" s="324"/>
      <c r="GZ36" s="324"/>
      <c r="HA36" s="324"/>
      <c r="HB36" s="1015"/>
      <c r="HC36" s="42"/>
      <c r="HD36" s="292"/>
      <c r="HE36" s="259"/>
      <c r="HF36" s="260"/>
      <c r="HG36" s="281"/>
      <c r="HH36" s="282"/>
      <c r="HI36" s="283"/>
      <c r="HJ36" s="921"/>
      <c r="HK36" s="50"/>
      <c r="HL36" s="340"/>
      <c r="HM36" s="341"/>
      <c r="HN36" s="79"/>
    </row>
    <row r="37" spans="2:224" ht="15" customHeight="1" thickBot="1">
      <c r="B37" s="1523"/>
      <c r="C37" s="1525"/>
      <c r="D37" s="811">
        <f>IF(Zulassung!D36="","",Zulassung!D36)</f>
      </c>
      <c r="E37" s="817"/>
      <c r="F37" s="818"/>
      <c r="G37" s="819"/>
      <c r="H37" s="530"/>
      <c r="I37" s="531"/>
      <c r="J37" s="531"/>
      <c r="K37" s="531"/>
      <c r="L37" s="807"/>
      <c r="N37" s="379">
        <f>IF(SUM(T10:T37)=0,"",SUM(T10:T37))</f>
      </c>
      <c r="O37" s="381">
        <f>IF(OR(N37="",N37=0),"",IF(N37=1,"im Gk","in Gk's"))</f>
      </c>
      <c r="P37" s="85"/>
      <c r="S37" s="306"/>
      <c r="T37" s="71"/>
      <c r="U37" s="71"/>
      <c r="V37" s="71"/>
      <c r="W37" s="71"/>
      <c r="Z37" s="33"/>
      <c r="AA37" s="33"/>
      <c r="AB37" s="33"/>
      <c r="AC37" s="78"/>
      <c r="AD37" s="78"/>
      <c r="AE37" s="78"/>
      <c r="AF37" s="78"/>
      <c r="AG37" s="78"/>
      <c r="AH37" s="78"/>
      <c r="AI37" s="78"/>
      <c r="AJ37" s="842">
        <f>LEFT($AJ$36,4)</f>
      </c>
      <c r="AK37" s="33"/>
      <c r="AL37" s="272"/>
      <c r="AM37" s="428"/>
      <c r="AN37" s="1025" t="s">
        <v>439</v>
      </c>
      <c r="AO37" s="1026">
        <v>1</v>
      </c>
      <c r="AP37" s="429">
        <v>2</v>
      </c>
      <c r="AQ37" s="429">
        <v>3</v>
      </c>
      <c r="AR37" s="429">
        <v>4</v>
      </c>
      <c r="AS37" s="1026">
        <v>5</v>
      </c>
      <c r="AT37" s="429">
        <v>6</v>
      </c>
      <c r="AU37" s="429">
        <v>7</v>
      </c>
      <c r="AV37" s="429">
        <v>8</v>
      </c>
      <c r="AZ37" s="44" t="s">
        <v>67</v>
      </c>
      <c r="BA37" s="44" t="s">
        <v>71</v>
      </c>
      <c r="BB37" s="44" t="s">
        <v>450</v>
      </c>
      <c r="BC37" s="44" t="s">
        <v>453</v>
      </c>
      <c r="BD37" s="61" t="s">
        <v>454</v>
      </c>
      <c r="BE37" s="842">
        <f>IF(BE26="","",ROW(BE26))</f>
      </c>
      <c r="BF37" s="248"/>
      <c r="BG37" s="61"/>
      <c r="BH37" s="61"/>
      <c r="BI37" s="61"/>
      <c r="BJ37" s="61"/>
      <c r="BK37" s="248"/>
      <c r="BL37" s="255"/>
      <c r="BM37" s="842" t="s">
        <v>224</v>
      </c>
      <c r="BN37" s="842"/>
      <c r="BO37" s="842"/>
      <c r="BP37" s="842"/>
      <c r="BQ37" s="842" t="s">
        <v>225</v>
      </c>
      <c r="BR37" s="842"/>
      <c r="BS37" s="842"/>
      <c r="BT37" s="842" t="s">
        <v>240</v>
      </c>
      <c r="BU37" s="61"/>
      <c r="BV37" s="842"/>
      <c r="BW37" s="842" t="s">
        <v>226</v>
      </c>
      <c r="BX37" s="842" t="s">
        <v>238</v>
      </c>
      <c r="BY37" s="844" t="s">
        <v>438</v>
      </c>
      <c r="BZ37" s="334"/>
      <c r="CA37" s="334" t="s">
        <v>439</v>
      </c>
      <c r="CB37" s="334"/>
      <c r="CC37" s="926" t="s">
        <v>324</v>
      </c>
      <c r="CD37" s="78" t="s">
        <v>441</v>
      </c>
      <c r="CE37" s="333" t="s">
        <v>323</v>
      </c>
      <c r="CF37" s="927" t="s">
        <v>440</v>
      </c>
      <c r="CG37" s="334"/>
      <c r="CH37" s="334" t="s">
        <v>343</v>
      </c>
      <c r="CI37" s="334">
        <f ca="1">IF(ISERROR(MATCH("PJK",CH38:CH49,0))=TRUE,"",INDIRECT("BT"&amp;(MATCH("PJK",CH38:CH49,0)+35)))</f>
      </c>
      <c r="CJ37" s="61"/>
      <c r="CK37" s="290"/>
      <c r="CL37" s="290"/>
      <c r="CM37" s="1521"/>
      <c r="CN37" s="1522"/>
      <c r="CO37" s="42"/>
      <c r="CP37" s="293"/>
      <c r="CQ37" s="265"/>
      <c r="CR37" s="266"/>
      <c r="CS37" s="284"/>
      <c r="CT37" s="285"/>
      <c r="CU37" s="286"/>
      <c r="CV37" s="922"/>
      <c r="CW37" s="885"/>
      <c r="CX37" s="342"/>
      <c r="CY37" s="343"/>
      <c r="CZ37" s="79"/>
      <c r="DA37" s="374"/>
      <c r="DB37" s="374"/>
      <c r="DC37" s="374"/>
      <c r="DD37" s="33"/>
      <c r="DE37" s="334"/>
      <c r="DF37" s="334"/>
      <c r="DG37" s="334"/>
      <c r="DH37" s="61"/>
      <c r="DI37" s="290"/>
      <c r="DJ37" s="290"/>
      <c r="DK37" s="334"/>
      <c r="DL37" s="334"/>
      <c r="DM37" s="334"/>
      <c r="DN37" s="61"/>
      <c r="DO37" s="290"/>
      <c r="DP37" s="290"/>
      <c r="DQ37" s="1521"/>
      <c r="DR37" s="1522"/>
      <c r="DS37" s="42"/>
      <c r="DT37" s="293"/>
      <c r="DU37" s="265"/>
      <c r="DV37" s="266"/>
      <c r="DW37" s="284"/>
      <c r="DX37" s="285"/>
      <c r="DY37" s="286"/>
      <c r="DZ37" s="922"/>
      <c r="EA37" s="885"/>
      <c r="EB37" s="342"/>
      <c r="EC37" s="343"/>
      <c r="ED37" s="79"/>
      <c r="EE37" s="374"/>
      <c r="EF37" s="374"/>
      <c r="EG37" s="334"/>
      <c r="EH37" s="334"/>
      <c r="EI37" s="334"/>
      <c r="EJ37" s="334"/>
      <c r="EK37" s="334"/>
      <c r="EL37" s="61"/>
      <c r="EM37" s="61"/>
      <c r="EN37" s="290"/>
      <c r="EO37" s="290">
        <f>COUNT(EO10:EO30)</f>
        <v>0</v>
      </c>
      <c r="EP37" s="290">
        <f>COUNT(EP10:EP30)</f>
        <v>0</v>
      </c>
      <c r="EQ37" s="290">
        <f>COUNT(EQ10:EQ30)</f>
        <v>0</v>
      </c>
      <c r="ER37" s="290">
        <f>COUNT(ER10:ER30)</f>
        <v>0</v>
      </c>
      <c r="ES37" s="725" t="e">
        <f>SUM(EO10:ER30)+SUM(ES10:ES31)</f>
        <v>#NUM!</v>
      </c>
      <c r="ET37" s="1037">
        <f>SUM(EO37:ER37)</f>
        <v>0</v>
      </c>
      <c r="EU37" s="1037"/>
      <c r="EV37" s="1038" t="e">
        <f>ES37/(ET37+8)</f>
        <v>#NUM!</v>
      </c>
      <c r="EW37" s="324"/>
      <c r="EX37" s="324"/>
      <c r="EY37" s="324"/>
      <c r="EZ37" s="324"/>
      <c r="FA37" s="324"/>
      <c r="FB37" s="324"/>
      <c r="FC37" s="758"/>
      <c r="FD37" s="758"/>
      <c r="FE37" s="672"/>
      <c r="FQ37" s="653"/>
      <c r="FR37" s="653"/>
      <c r="FS37" s="653"/>
      <c r="FT37" s="653"/>
      <c r="FU37" s="653"/>
      <c r="FV37" s="1015"/>
      <c r="FW37" s="42"/>
      <c r="FX37" s="293"/>
      <c r="FY37" s="265"/>
      <c r="FZ37" s="266"/>
      <c r="GA37" s="284"/>
      <c r="GB37" s="285"/>
      <c r="GC37" s="286"/>
      <c r="GD37" s="922"/>
      <c r="GE37" s="885"/>
      <c r="GF37" s="342"/>
      <c r="GG37" s="343"/>
      <c r="GH37" s="79"/>
      <c r="GI37" s="374"/>
      <c r="GJ37" s="374"/>
      <c r="GK37" s="374"/>
      <c r="GT37" s="324"/>
      <c r="GU37" s="324"/>
      <c r="GV37" s="324"/>
      <c r="GW37" s="324"/>
      <c r="GX37" s="324"/>
      <c r="GY37" s="324"/>
      <c r="GZ37" s="324"/>
      <c r="HA37" s="324"/>
      <c r="HB37" s="1015"/>
      <c r="HC37" s="42"/>
      <c r="HD37" s="293"/>
      <c r="HE37" s="265"/>
      <c r="HF37" s="266"/>
      <c r="HG37" s="284"/>
      <c r="HH37" s="285"/>
      <c r="HI37" s="286"/>
      <c r="HJ37" s="922"/>
      <c r="HK37" s="885"/>
      <c r="HL37" s="342"/>
      <c r="HM37" s="343"/>
      <c r="HN37" s="79"/>
      <c r="HO37" s="374"/>
      <c r="HP37" s="374"/>
    </row>
    <row r="38" spans="2:224" ht="15" customHeight="1">
      <c r="B38" s="709"/>
      <c r="C38" s="672"/>
      <c r="F38" s="820"/>
      <c r="G38" s="821"/>
      <c r="H38" s="705"/>
      <c r="I38" s="705"/>
      <c r="J38" s="705"/>
      <c r="K38" s="705"/>
      <c r="L38" s="705"/>
      <c r="M38" s="705"/>
      <c r="N38" s="680"/>
      <c r="O38" s="706"/>
      <c r="P38" s="85"/>
      <c r="S38" s="306"/>
      <c r="T38" s="71"/>
      <c r="U38" s="71"/>
      <c r="V38" s="495"/>
      <c r="W38" s="71"/>
      <c r="X38" s="248"/>
      <c r="Z38" s="33"/>
      <c r="AA38" s="33"/>
      <c r="AB38" s="33"/>
      <c r="AC38" s="78"/>
      <c r="AD38" s="78"/>
      <c r="AE38" s="78"/>
      <c r="AF38" s="78"/>
      <c r="AG38" s="78"/>
      <c r="AH38" s="78"/>
      <c r="AI38" s="78"/>
      <c r="AJ38" s="842">
        <f>RIGHT($AJ$36,4)</f>
      </c>
      <c r="AK38" s="33"/>
      <c r="AL38" s="272"/>
      <c r="AN38" s="979" t="s">
        <v>67</v>
      </c>
      <c r="AO38" s="980">
        <f>LARGE($AO$11:$BB$13,AO37)</f>
        <v>0</v>
      </c>
      <c r="AP38" s="980">
        <f aca="true" t="shared" si="123" ref="AP38:AV38">LARGE($AO$11:$BB$13,AP37)</f>
        <v>0</v>
      </c>
      <c r="AQ38" s="980">
        <f t="shared" si="123"/>
        <v>0</v>
      </c>
      <c r="AR38" s="980">
        <f t="shared" si="123"/>
        <v>0</v>
      </c>
      <c r="AS38" s="980">
        <f t="shared" si="123"/>
        <v>0</v>
      </c>
      <c r="AT38" s="980">
        <f t="shared" si="123"/>
        <v>0</v>
      </c>
      <c r="AU38" s="980">
        <f t="shared" si="123"/>
        <v>0</v>
      </c>
      <c r="AV38" s="980">
        <f t="shared" si="123"/>
        <v>0</v>
      </c>
      <c r="AX38" s="44">
        <v>1</v>
      </c>
      <c r="AY38" s="61">
        <f>LARGE($AO$44:$AV$45,AX38)</f>
        <v>0</v>
      </c>
      <c r="AZ38" s="61">
        <f>IF(OR($AY38="",AY38=0,ISERROR(MATCH($AY38,$AO$44:$AV$44,0)=TRUE)),0,MATCH($AY38,$AO$44:$AV$44,0)+40)</f>
        <v>0</v>
      </c>
      <c r="BA38" s="61">
        <f>IF(OR($AY38="",AY38=0,AZ38&lt;&gt;0,ISERROR(MATCH($AY38,$AO$45:$AV$45,0)=TRUE)),0,MATCH($AY38,$AO$45:$AV$45,0)+40)</f>
        <v>0</v>
      </c>
      <c r="BB38" s="44">
        <f aca="true" ca="1" t="shared" si="124" ref="BB38:BB53">IF(AY38=0,"",IF(AZ38=0,INDIRECT(ADDRESS(49,BA38,4)),INDIRECT(ADDRESS(42,AZ38,4))))</f>
      </c>
      <c r="BC38" s="61">
        <f ca="1">IF(AY38=0,0,IF(AZ38=0,INDIRECT(LEFT(BB38,2)&amp;RIGHT(BB38,2)+6),INDIRECT(LEFT(BB38,2)&amp;RIGHT(BB38,2)+4)))</f>
        <v>0</v>
      </c>
      <c r="BD38" s="61">
        <f>IF(OR(BC38="",BC38&gt;MAX($BC$39:$BC$53)),"",BB38)</f>
      </c>
      <c r="BE38" s="842">
        <f>IF(BE27="","",ROW(BE27))</f>
      </c>
      <c r="BF38" s="248"/>
      <c r="BG38" s="61"/>
      <c r="BH38" s="61"/>
      <c r="BI38" s="61"/>
      <c r="BJ38" s="61"/>
      <c r="BK38" s="248"/>
      <c r="BL38" s="255"/>
      <c r="BM38" s="842">
        <f>COUNT(BM10:BM31)</f>
        <v>0</v>
      </c>
      <c r="BN38" s="842">
        <f>COUNT(BN10:BN31)</f>
        <v>0</v>
      </c>
      <c r="BO38" s="842">
        <f>COUNT(BO10:BO31)</f>
        <v>0</v>
      </c>
      <c r="BP38" s="842">
        <f>COUNT(BP10:BP31)</f>
        <v>0</v>
      </c>
      <c r="BQ38" s="842">
        <f>SUM(BM38:BP38)</f>
        <v>0</v>
      </c>
      <c r="BR38" s="842"/>
      <c r="BS38" s="842"/>
      <c r="BT38" s="842" t="e">
        <f>BP39/(BQ38+8)</f>
        <v>#NUM!</v>
      </c>
      <c r="BU38" s="61" t="e">
        <f>IF(BV38&lt;&gt;"",0,1)</f>
        <v>#NUM!</v>
      </c>
      <c r="BV38" s="842" t="e">
        <f>IF(OR($BQ38&lt;35,AND($BY$38&gt;$BT$38,BQ38&lt;40)),1,"")</f>
        <v>#NUM!</v>
      </c>
      <c r="BW38" s="842" t="s">
        <v>239</v>
      </c>
      <c r="BX38" s="842">
        <f>IF(CC38&lt;&gt;0,$CC$37&amp;CC38,IF(CD38&lt;&gt;0,$CD$37&amp;CD38,IF(CE38&lt;&gt;0,$CE$37&amp;CE38,IF(CF38&lt;&gt;0,$CF$37&amp;CF38,""))))</f>
      </c>
      <c r="BY38" s="842">
        <f aca="true" t="shared" si="125" ref="BY38:BY49">IF(ISERROR(LARGE($BT$11:$BW$34,CA38))=TRUE,"",LARGE($BT$11:$BW$34,CA38))</f>
      </c>
      <c r="BZ38" s="248"/>
      <c r="CA38" s="248">
        <v>1</v>
      </c>
      <c r="CB38" s="248"/>
      <c r="CC38" s="928">
        <f>IF(OR($BY38="",ISERROR(MATCH($BY38,$BW$11:$BW$34,0)=TRUE)),0,MATCH($BY38,BW11:BW34,0)+10)</f>
        <v>0</v>
      </c>
      <c r="CD38" s="255">
        <f>IF(OR($BY38="",CC38&lt;&gt;0,ISERROR(MATCH($BY38,BV11:BV34,0)=TRUE)),0,MATCH($BY38,BV11:BV34,0)+10)</f>
        <v>0</v>
      </c>
      <c r="CE38" s="255">
        <f>IF(OR($BY38="",CC38&lt;&gt;0,CD38&lt;&gt;0,ISERROR(MATCH($BY38,BU11:BU34,0)=TRUE)),0,MATCH($BY38,BU11:BU34,0)+10)</f>
        <v>0</v>
      </c>
      <c r="CF38" s="929">
        <f>IF(OR($BY38="",CC38&lt;&gt;0,CD38&lt;&gt;0,CE38&lt;&gt;0,ISERROR(MATCH($BY38,BT11:BT34,0)=TRUE)),0,MATCH($BY38,BT11:BT34,0)+10)</f>
        <v>0</v>
      </c>
      <c r="CG38" s="248"/>
      <c r="CH38" s="248">
        <f>IF(RIGHT(BX38,2)="32","PJK","")</f>
      </c>
      <c r="CI38" s="248"/>
      <c r="CJ38" s="61">
        <f aca="true" t="shared" si="126" ref="CJ38:CJ49">IF(CH38="","",BQ39)</f>
      </c>
      <c r="CK38" s="248"/>
      <c r="CL38" s="248"/>
      <c r="CM38" s="81"/>
      <c r="CN38" s="82"/>
      <c r="CO38" s="395"/>
      <c r="CP38" s="317" t="s">
        <v>243</v>
      </c>
      <c r="CQ38" s="1318"/>
      <c r="CR38" s="1319"/>
      <c r="CS38" s="49">
        <f>COUNT(CS10:CS32)</f>
        <v>0</v>
      </c>
      <c r="CT38" s="83">
        <f>COUNT(CT10:CT32)</f>
        <v>0</v>
      </c>
      <c r="CU38" s="250">
        <f>COUNT(CU10:CU32)</f>
        <v>0</v>
      </c>
      <c r="CV38" s="251">
        <f>COUNT(CV10:CV32)</f>
        <v>0</v>
      </c>
      <c r="CW38" s="250">
        <f>SUM(CS38:CV38)</f>
        <v>0</v>
      </c>
      <c r="CX38" s="252">
        <f>SUM(CX10:CX34)</f>
        <v>0</v>
      </c>
      <c r="CY38" s="84">
        <f>SUM(CY10:CY31)</f>
        <v>0</v>
      </c>
      <c r="CZ38" s="85"/>
      <c r="DA38" s="40">
        <f>SUM(DF10:DF34)</f>
        <v>0</v>
      </c>
      <c r="DB38" s="40">
        <f>IF(DA38=0,"","im Lk-Bereich")</f>
      </c>
      <c r="DC38" s="33"/>
      <c r="DD38" s="33"/>
      <c r="DE38" s="248"/>
      <c r="DF38" s="248"/>
      <c r="DG38" s="248"/>
      <c r="DH38" s="61"/>
      <c r="DI38" s="248"/>
      <c r="DJ38" s="248"/>
      <c r="DK38" s="248"/>
      <c r="DL38" s="248"/>
      <c r="DM38" s="248"/>
      <c r="DN38" s="61"/>
      <c r="DO38" s="248"/>
      <c r="DP38" s="248"/>
      <c r="DQ38" s="81"/>
      <c r="DR38" s="82"/>
      <c r="DS38" s="395"/>
      <c r="DT38" s="317" t="s">
        <v>243</v>
      </c>
      <c r="DU38" s="1318"/>
      <c r="DV38" s="1319"/>
      <c r="DW38" s="49">
        <f>COUNT(DW10:DW32)</f>
        <v>0</v>
      </c>
      <c r="DX38" s="83">
        <f>COUNT(DX10:DX32)</f>
        <v>0</v>
      </c>
      <c r="DY38" s="250">
        <f>COUNT(DY10:DY32)</f>
        <v>0</v>
      </c>
      <c r="DZ38" s="251">
        <f>COUNT(DZ10:DZ32)</f>
        <v>0</v>
      </c>
      <c r="EA38" s="250">
        <f>SUM(DW38:DZ38)</f>
        <v>0</v>
      </c>
      <c r="EB38" s="252">
        <f>SUM(EB10:EB34)</f>
        <v>0</v>
      </c>
      <c r="EC38" s="84">
        <f>SUM(EC10:EC31)</f>
        <v>0</v>
      </c>
      <c r="ED38" s="85"/>
      <c r="EE38" s="40">
        <f>SUM(EH10:EH34)</f>
        <v>0</v>
      </c>
      <c r="EF38" s="40">
        <f>IF(EE38=0,"","im Lk-Bereich")</f>
      </c>
      <c r="EG38" s="248"/>
      <c r="EH38" s="248"/>
      <c r="EI38" s="248"/>
      <c r="EJ38" s="248"/>
      <c r="EK38" s="248"/>
      <c r="EL38" s="61"/>
      <c r="EM38" s="61"/>
      <c r="EN38" s="248"/>
      <c r="EO38" s="248"/>
      <c r="EP38" s="248"/>
      <c r="EQ38" s="248"/>
      <c r="ER38" s="248"/>
      <c r="ES38" s="61"/>
      <c r="ET38" s="938">
        <f aca="true" t="shared" si="127" ref="ET38:ET50">IF(OR(AND(ET37&lt;&gt;"",ET37&lt;40),ET37&lt;35),ET37+1,"")</f>
        <v>1</v>
      </c>
      <c r="EU38" s="938"/>
      <c r="EV38" s="938" t="e">
        <f>IF(ET38="","",($ES$37+FF11)/(ET38+8))</f>
        <v>#NUM!</v>
      </c>
      <c r="EW38" s="255"/>
      <c r="EX38" s="255"/>
      <c r="EY38" s="324"/>
      <c r="EZ38" s="324"/>
      <c r="FA38" s="795"/>
      <c r="FB38" s="702"/>
      <c r="FC38" s="709"/>
      <c r="FD38" s="672"/>
      <c r="FE38" s="710"/>
      <c r="FQ38" s="709"/>
      <c r="FR38" s="709"/>
      <c r="FS38" s="709"/>
      <c r="FT38" s="709"/>
      <c r="FU38" s="709"/>
      <c r="FV38" s="82"/>
      <c r="FW38" s="395"/>
      <c r="FX38" s="317" t="s">
        <v>243</v>
      </c>
      <c r="FY38" s="988"/>
      <c r="FZ38" s="989"/>
      <c r="GA38" s="49">
        <f>COUNT(GA10:GA32)</f>
        <v>0</v>
      </c>
      <c r="GB38" s="83">
        <f>COUNT(GB10:GB32)</f>
        <v>0</v>
      </c>
      <c r="GC38" s="250">
        <f>COUNT(GC10:GC32)</f>
        <v>0</v>
      </c>
      <c r="GD38" s="251">
        <f>COUNT(GD10:GD32)</f>
        <v>0</v>
      </c>
      <c r="GE38" s="250">
        <f>SUM(GA38:GD38)</f>
        <v>0</v>
      </c>
      <c r="GF38" s="252">
        <f>SUM(GF10:GF34)</f>
        <v>0</v>
      </c>
      <c r="GG38" s="84">
        <f>SUM(GG10:GG31)</f>
        <v>0</v>
      </c>
      <c r="GH38" s="85"/>
      <c r="GI38" s="40">
        <f>SUM(GL10:GL33)</f>
        <v>0</v>
      </c>
      <c r="GJ38" s="40">
        <f>IF(GI38=0,"","im Lk-Bereich")</f>
      </c>
      <c r="GK38" s="33"/>
      <c r="HB38" s="82"/>
      <c r="HC38" s="395"/>
      <c r="HD38" s="317" t="s">
        <v>243</v>
      </c>
      <c r="HE38" s="988"/>
      <c r="HF38" s="989"/>
      <c r="HG38" s="49">
        <f>COUNT(HG10:HG32)</f>
        <v>0</v>
      </c>
      <c r="HH38" s="83">
        <f>COUNT(HH10:HH32)</f>
        <v>0</v>
      </c>
      <c r="HI38" s="250">
        <f>COUNT(HI10:HI32)</f>
        <v>0</v>
      </c>
      <c r="HJ38" s="251">
        <f>COUNT(HJ10:HJ32)</f>
        <v>0</v>
      </c>
      <c r="HK38" s="250">
        <f>SUM(HG38:HJ38)</f>
        <v>0</v>
      </c>
      <c r="HL38" s="252">
        <f>SUM(HL10:HL34)</f>
        <v>0</v>
      </c>
      <c r="HM38" s="84">
        <f>SUM(HM10:HM31)</f>
        <v>0</v>
      </c>
      <c r="HN38" s="85"/>
      <c r="HO38" s="40">
        <f>SUM(HR10:HR33)</f>
        <v>0</v>
      </c>
      <c r="HP38" s="40">
        <f>IF(HO38=0,"","im Lk-Bereich")</f>
      </c>
    </row>
    <row r="39" spans="2:224" ht="15.75" customHeight="1" thickBot="1">
      <c r="B39" s="798"/>
      <c r="C39" s="822"/>
      <c r="F39" s="823"/>
      <c r="G39" s="841"/>
      <c r="H39" s="1513"/>
      <c r="I39" s="1513"/>
      <c r="J39" s="1514"/>
      <c r="K39" s="1514"/>
      <c r="L39" s="840"/>
      <c r="M39" s="768"/>
      <c r="N39" s="704"/>
      <c r="O39" s="714"/>
      <c r="S39" s="306"/>
      <c r="T39" s="1515"/>
      <c r="U39" s="1515"/>
      <c r="V39" s="1515"/>
      <c r="X39" s="248"/>
      <c r="Z39" s="33"/>
      <c r="AA39" s="33"/>
      <c r="AB39" s="33"/>
      <c r="AC39" s="78"/>
      <c r="AD39" s="78"/>
      <c r="AE39" s="78"/>
      <c r="AF39" s="78"/>
      <c r="AG39" s="78"/>
      <c r="AH39" s="78"/>
      <c r="AI39" s="78"/>
      <c r="AJ39" s="78"/>
      <c r="AK39" s="33"/>
      <c r="AL39" s="33"/>
      <c r="AM39" s="94" t="s">
        <v>452</v>
      </c>
      <c r="AN39" s="978">
        <v>11</v>
      </c>
      <c r="AO39" s="584">
        <f>IF(OR(AO38="",AO38=0,ISERROR(MATCH(AO38,$AO11:$BA11,0)=TRUE)),0,MATCH(AO38,$AO11:$BA11,0)+40)</f>
        <v>0</v>
      </c>
      <c r="AP39" s="255">
        <f ca="1">IF(OR(AP$38="",AP38=0,ISERROR(MATCH(AP$38,$AO11:$BB11,0))=TRUE),0,IF(OR(AND(COUNTIF($AO11:$BB11,AP$38)=1,ISNA(MATCH(MATCH(AP$38,$AO11:$BB11,0)+40,$AO39:AO39,0)=TRUE)),AND(COUNTIF($AO11:$BB11,AP$38)&gt;=2,AP$38&lt;&gt;AO$38)),MATCH(AP$38,$AO11:$BB11,0)+40,IF(AND(COUNTIF($AO11:$BB11,AP$38)&gt;=2,COUNTIF(INDIRECT(ADDRESS(38,MATCH(AP$38,$AO$38:AP$38,0)+40,4)&amp;":"&amp;ADDRESS(ROW($AO39),COLUMN(AO39),4)),"&gt;0")&lt;=COUNTIF($AO11:$BB11,AP$38)),MATCH(AP$38,INDIRECT(ADDRESS(11,AO39+1,4)):$BB11,0)+AO39,0)))</f>
        <v>0</v>
      </c>
      <c r="AQ39" s="255">
        <f ca="1">IF(OR(AQ$38="",AQ38=0,ISERROR(MATCH(AQ$38,$AO11:$BB11,0))=TRUE),0,IF(OR(AND(COUNTIF($AO11:$BB11,AQ$38)=1,ISNA(MATCH(MATCH(AQ$38,$AO11:$BB11,0)+40,$AO39:AP39,0)=TRUE)),AND(COUNTIF($AO11:$BB11,AQ$38)&gt;=2,AQ$38&lt;&gt;AP$38)),MATCH(AQ$38,$AO11:$BB11,0)+40,IF(AND(COUNTIF($AO11:$BB11,AQ$38)&gt;=2,COUNTIF(INDIRECT(ADDRESS(38,MATCH(AQ$38,$AO$38:AQ$38,0)+40,4)&amp;":"&amp;ADDRESS(ROW($AO39),COLUMN(AP39),4)),"&gt;0")&lt;=COUNTIF($AO11:$BB11,AQ$38)),MATCH(AQ$38,INDIRECT(ADDRESS(11,AP39+1,4)):$BB11,0)+AP39,0)))</f>
        <v>0</v>
      </c>
      <c r="AR39" s="255">
        <f ca="1">IF(OR(AR$38="",AR38=0,ISERROR(MATCH(AR$38,$AO11:$BB11,0))=TRUE),0,IF(OR(AND(COUNTIF($AO11:$BB11,AR$38)=1,ISNA(MATCH(MATCH(AR$38,$AO11:$BB11,0)+40,$AO39:AQ39,0)=TRUE)),AND(COUNTIF($AO11:$BB11,AR$38)&gt;=2,AR$38&lt;&gt;AQ$38)),MATCH(AR$38,$AO11:$BB11,0)+40,IF(AND(COUNTIF($AO11:$BB11,AR$38)&gt;=2,COUNTIF(INDIRECT(ADDRESS(38,MATCH(AR$38,$AO$38:AR$38,0)+40,4)&amp;":"&amp;ADDRESS(ROW($AO39),COLUMN(AQ39),4)),"&gt;0")&lt;=COUNTIF($AO11:$BB11,AR$38)),MATCH(AR$38,INDIRECT(ADDRESS(11,AQ39+1,4)):$BB11,0)+AQ39,0)))</f>
        <v>0</v>
      </c>
      <c r="AS39" s="255">
        <f ca="1">IF(OR(AS$38="",AS38=0,ISERROR(MATCH(AS$38,$AO11:$BB11,0))=TRUE),0,IF(OR(AND(COUNTIF($AO11:$BB11,AS$38)=1,ISNA(MATCH(MATCH(AS$38,$AO11:$BB11,0)+40,$AO39:AR39,0)=TRUE)),AND(COUNTIF($AO11:$BB11,AS$38)&gt;=2,AS$38&lt;&gt;AR$38)),MATCH(AS$38,$AO11:$BB11,0)+40,IF(AND(COUNTIF($AO11:$BB11,AS$38)&gt;=2,COUNTIF(INDIRECT(ADDRESS(38,MATCH(AS$38,$AO$38:AS$38,0)+40,4)&amp;":"&amp;ADDRESS(ROW($AO39),COLUMN(AR39),4)),"&gt;0")&lt;=COUNTIF($AO11:$BB11,AS$38)),MATCH(AS$38,INDIRECT(ADDRESS(11,AR39+1,4)):$BB11,0)+AR39,0)))</f>
        <v>0</v>
      </c>
      <c r="AT39" s="255">
        <f ca="1">IF(OR(AT$38="",AT38=0,ISERROR(MATCH(AT$38,$AO11:$BB11,0))=TRUE),0,IF(OR(AND(COUNTIF($AO11:$BB11,AT$38)=1,ISNA(MATCH(MATCH(AT$38,$AO11:$BB11,0)+40,$AO39:AS39,0)=TRUE)),AND(COUNTIF($AO11:$BB11,AT$38)&gt;=2,AT$38&lt;&gt;AS$38)),MATCH(AT$38,$AO11:$BB11,0)+40,IF(AND(COUNTIF($AO11:$BB11,AT$38)&gt;=2,COUNTIF(INDIRECT(ADDRESS(38,MATCH(AT$38,$AO$38:AT$38,0)+40,4)&amp;":"&amp;ADDRESS(ROW($AO39),COLUMN(AS39),4)),"&gt;0")&lt;=COUNTIF($AO11:$BB11,AT$38)),MATCH(AT$38,INDIRECT(ADDRESS(11,AS39+1,4)):$BB11,0)+AS39,0)))</f>
        <v>0</v>
      </c>
      <c r="AU39" s="255">
        <f ca="1">IF(OR(AU$38="",AU38=0,ISERROR(MATCH(AU$38,$AO11:$BB11,0))=TRUE),0,IF(OR(AND(COUNTIF($AO11:$BB11,AU$38)=1,ISNA(MATCH(MATCH(AU$38,$AO11:$BB11,0)+40,$AO39:AT39,0)=TRUE)),AND(COUNTIF($AO11:$BB11,AU$38)&gt;=2,AU$38&lt;&gt;AT$38)),MATCH(AU$38,$AO11:$BB11,0)+40,IF(AND(COUNTIF($AO11:$BB11,AU$38)&gt;=2,COUNTIF(INDIRECT(ADDRESS(38,MATCH(AU$38,$AO$38:AU$38,0)+40,4)&amp;":"&amp;ADDRESS(ROW($AO39),COLUMN(AT39),4)),"&gt;0")&lt;=COUNTIF($AO11:$BB11,AU$38)),MATCH(AU$38,INDIRECT(ADDRESS(11,AT39+1,4)):$BB11,0)+AT39,0)))</f>
        <v>0</v>
      </c>
      <c r="AV39" s="255">
        <f ca="1">IF(OR(AV$38="",AV38=0,ISERROR(MATCH(AV$38,$AO11:$BB11,0))=TRUE),0,IF(OR(AND(COUNTIF($AO11:$BB11,AV$38)=1,ISNA(MATCH(MATCH(AV$38,$AO11:$BB11,0)+40,$AO39:AU39,0)=TRUE)),AND(COUNTIF($AO11:$BB11,AV$38)&gt;=2,AV$38&lt;&gt;AU$38)),MATCH(AV$38,$AO11:$BB11,0)+40,IF(AND(COUNTIF($AO11:$BB11,AV$38)&gt;=2,COUNTIF(INDIRECT(ADDRESS(38,MATCH(AV$38,$AO$38:AV$38,0)+40,4)&amp;":"&amp;ADDRESS(ROW($AO39),COLUMN(AU39),4)),"&gt;0")&lt;=COUNTIF($AO11:$BB11,AV$38)),MATCH(AV$38,INDIRECT(ADDRESS(11,AU39+1,4)):$BB11,0)+AU39,0)))</f>
        <v>0</v>
      </c>
      <c r="AX39" s="44">
        <v>2</v>
      </c>
      <c r="AY39" s="61">
        <f aca="true" t="shared" si="128" ref="AY39:AY53">LARGE($AO$44:$AV$45,AX39)</f>
        <v>0</v>
      </c>
      <c r="AZ39" s="61">
        <f ca="1">IF(AY39=0,"",IF(OR($AY39="",ISERROR(MATCH($AY39,$AO$44:$AV$44,0))=TRUE),0,IF(OR(AND(COUNTIF($AO$44:$AV$44,$AY39)=1,ISNA(MATCH(MATCH($AY39,$AO$44:$AV$44,0)+40,AZ$38:AZ38,0)=TRUE)),AND(COUNTIF($AO$44:$AV$44,$AY39)&gt;=2,$AY39&lt;&gt;$AY38)),MATCH($AY39,$AO$44:$AV$44,0)+40,IF(AND(COUNTIF($AO$44:$AV$44,$AY39)&gt;=2,COUNTIF(INDIRECT("AZ$"&amp;MATCH($AY39,$AY$38:$AY39,0)+37):AZ38,"&gt;0")&lt;COUNTIF($AO$44:$AV$44,$AY39)),AZ38+1,0))))</f>
      </c>
      <c r="BA39" s="61">
        <f ca="1">IF(AY39=0,"",IF(OR($AY39="",AZ39&lt;&gt;0,ISERROR(MATCH($AY39,$AO$45:$AV$45,0))=TRUE),0,IF(OR(AND(COUNTIF($AO$45:$AV$45,$AY39)=1,ISNA(MATCH(MATCH($AY39,$AO$45:$AV$45,0)+40,BA$38:BA38,0)=TRUE)),AND(COUNTIF($AO$45:$AV$45,$AY39)&gt;=2,$AY39&lt;&gt;$AY38)),MATCH($AY39,$AO$45:$AV$45,0)+40,IF(AND(COUNTIF($AO$45:$AV$45,$AY39)&gt;=2,COUNTIF(INDIRECT("BA$"&amp;MATCH($AY39,$AY$38:$AY39,0)+37):BA38,"&gt;0")&lt;COUNTIF($AO$45:$AV$45,$AY39),BA38&lt;&gt;0),MATCH($AY39,INDIRECT(ADDRESS(45,BA38+1,4)),0)+BA38,IF(BA38=0,MATCH($AY39,$AO$45:$AV$45,0)+40,0)))))</f>
      </c>
      <c r="BB39" s="44">
        <f ca="1" t="shared" si="124"/>
      </c>
      <c r="BC39" s="61">
        <f ca="1">IF(AY39=0,"",IF(AZ39=0,IF(INDIRECT(LEFT(BB39,2)&amp;RIGHT(BB39,2)+6)&gt;=MIN($BC$38:BC38),"",INDIRECT(LEFT(BB39,2)&amp;RIGHT(BB39,2)+6)),IF(INDIRECT(LEFT(BB39,2)&amp;RIGHT(BB39,2)+4)&gt;=MIN($BC$38:BC38),"",INDIRECT(LEFT(BB39,2)&amp;RIGHT(BB39,2)+4))))</f>
      </c>
      <c r="BD39" s="61">
        <f aca="true" t="shared" si="129" ref="BD39:BD53">IF(OR(BC39="",BC39&gt;MAX($BC$39:$BC$53)),"",BB39)</f>
      </c>
      <c r="BE39" s="842">
        <f>IF(BE28="","",ROW(BE28))</f>
      </c>
      <c r="BF39" s="376" t="s">
        <v>259</v>
      </c>
      <c r="BG39" s="376" t="s">
        <v>260</v>
      </c>
      <c r="BH39" s="61"/>
      <c r="BI39" s="61"/>
      <c r="BJ39" s="61"/>
      <c r="BK39" s="248"/>
      <c r="BL39" s="255"/>
      <c r="BM39" s="842"/>
      <c r="BN39" s="842"/>
      <c r="BO39" s="842" t="s">
        <v>241</v>
      </c>
      <c r="BP39" s="842" t="e">
        <f>SUM(BM10:BP31)+SUM(BQ10:BQ31)</f>
        <v>#NUM!</v>
      </c>
      <c r="BQ39" s="842" t="e">
        <f aca="true" t="shared" si="130" ref="BQ39:BQ44">IF(OR(AND(BV38&lt;&gt;"",BQ38&lt;40),BQ38&lt;35),BQ38+1,"")</f>
        <v>#NUM!</v>
      </c>
      <c r="BR39" s="842"/>
      <c r="BS39" s="842"/>
      <c r="BT39" s="842" t="e">
        <f>IF(BQ39="","",($BP$39+BY38)/(BQ39+8))</f>
        <v>#NUM!</v>
      </c>
      <c r="BU39" s="425" t="e">
        <f>IF(OR(BV39&lt;&gt;"",MAX($BU$38:BU38)=3,AND(RIGHT(BX39,2)=RIGHT(BX38,2),VALUE(RIGHT(BX39,2))&gt;30)),0,BU38+1)</f>
        <v>#NUM!</v>
      </c>
      <c r="BV39" s="842" t="e">
        <f>IF(BV38="","",IF(OR(COUNT($BM$10:$BP$30)+$BV38&lt;35,AND(MAX($BV$38:BV38)+$BQ$38&lt;40,AND($BQ39&lt;40,$BY39&gt;$BT39))),BV38+1,""))</f>
        <v>#NUM!</v>
      </c>
      <c r="BW39" s="842" t="s">
        <v>227</v>
      </c>
      <c r="BX39" s="842">
        <f aca="true" t="shared" si="131" ref="BX39:BX49">IF(CC39&lt;&gt;0,$CC$37&amp;CC39,IF(CD39&lt;&gt;0,$CD$37&amp;CD39,IF(CE39&lt;&gt;0,$CE$37&amp;CE39,IF(CF39&lt;&gt;0,$CF$37&amp;CF39,""))))</f>
      </c>
      <c r="BY39" s="842">
        <f t="shared" si="125"/>
      </c>
      <c r="BZ39" s="248"/>
      <c r="CA39" s="248">
        <v>2</v>
      </c>
      <c r="CB39" s="248"/>
      <c r="CC39" s="928">
        <f ca="1">IF(OR($BY39="",ISERROR(MATCH($BY39,BW$11:BW$34,0))=TRUE),0,IF(OR(AND(COUNTIF(BW$11:BW$34,$BY39)=1,ISNA(MATCH(MATCH($BY39,$BW$11:$BW$34,0)+10,CC$38:CC38,0)=TRUE)),AND(COUNTIF(BW$11:BW$34,$BY39)&gt;=2,$BY39&lt;&gt;$BY38)),MATCH($BY39,BW$11:BW$34,0)+10,IF(AND(COUNTIF(BW$11:BW$34,$BY39)&gt;=2,COUNTIF(INDIRECT("CC$"&amp;MATCH($BY39,$BY$38:$BY39,0)+37):CC38,"&gt;0")&lt;COUNTIF(BW$11:BW$34,$BY39)),MATCH($BY39,INDIRECT("BW"&amp;CC38+1):$BW$34,0)+CC38,0)))</f>
        <v>0</v>
      </c>
      <c r="CD39" s="255">
        <f ca="1">IF(OR($BY39="",CC39&lt;&gt;0,ISERROR(MATCH($BY39,$BV$11:$BV$34,0))=TRUE),0,IF(OR(AND(COUNTIF($BV$11:$BV$34,$BY39)=1,ISNA(MATCH(MATCH($BY39,$BV$11:$BV$34,0)+10,CD$38:CD38,0)=TRUE)),AND(COUNTIF($BV$11:$BV$34,$BY39)&gt;=2,$BY39&lt;&gt;$BY38)),MATCH($BY39,$BV$11:$BV$34,0)+10,IF(AND(COUNTIF($BV$11:$BV$34,$BY39)&gt;=2,COUNTIF(INDIRECT("CD$"&amp;MATCH($BY39,$BY$38:$BY39,0)+37):CD38,"&gt;0")&lt;COUNTIF($BV$11:$BV$34,$BY39)),MATCH($BY39,INDIRECT("BV"&amp;CD38+1):$BV$34,0)+CD38,0)))</f>
        <v>0</v>
      </c>
      <c r="CE39" s="255">
        <f ca="1">IF(OR($BY39="",CC39&lt;&gt;0,CD39&lt;&gt;0,ISERROR(MATCH($BY39,BU$11:BU$34,0))=TRUE),0,IF(OR(AND(COUNTIF(BU$11:BU$34,$BY39)=1,ISNA(MATCH(MATCH($BY39,$BU$11:$BU$34,0)+10,CE$38:CE38,0)=TRUE)),AND(COUNTIF(BU$11:BU$34,$BY39)&gt;=2,$BY39&lt;&gt;$BY38)),MATCH($BY39,BU$11:BU$34,0)+10,IF(AND(COUNTIF(BU$11:BU$34,$BY39)&gt;=2,COUNTIF(INDIRECT("CE$"&amp;MATCH($BY39,$BY$38:$BY39,0)+37):CE38,"&gt;0")&lt;COUNTIF(BU$11:BU$34,$BY39)),MATCH($BY39,INDIRECT("BU"&amp;CE38+1):$BU$34,0)+CE38,0)))</f>
        <v>0</v>
      </c>
      <c r="CF39" s="929">
        <f ca="1">IF(OR($BY39="",CC39&lt;&gt;0,CD39&lt;&gt;0,CE39&lt;&gt;0,ISERROR(MATCH($BY39,BT$11:BT$34,0))=TRUE),0,IF(OR(AND(COUNTIF(BT$11:BT$34,$BY39)=1,ISNA(MATCH(MATCH($BY39,$BT$11:$BT$34,0)+10,CF$38:CF38,0)=TRUE)),AND(COUNTIF(BT$11:BT$34,$BY39)&gt;=2,$BY39&lt;&gt;$BY38)),MATCH($BY39,BT$11:BT$34,0)+10,IF(AND(COUNTIF(BT$11:BT$34,$BY39)&gt;=2,COUNTIF(INDIRECT("CF$"&amp;MATCH($BY39,$BY$38:$BY39,0)+37):CF38,"&gt;0")&lt;COUNTIF(BT$11:BT$34,$BY39)),MATCH($BY39,INDIRECT("BT"&amp;CF38+1):$BT$34,0)+CF38,0)))</f>
        <v>0</v>
      </c>
      <c r="CG39" s="248"/>
      <c r="CH39" s="248">
        <f aca="true" t="shared" si="132" ref="CH39:CH49">IF(RIGHT(BX39,2)="32","PJK","")</f>
      </c>
      <c r="CI39" s="248"/>
      <c r="CJ39" s="61">
        <f t="shared" si="126"/>
      </c>
      <c r="CK39" s="33"/>
      <c r="CL39" s="33"/>
      <c r="CM39" s="52"/>
      <c r="CN39" s="53"/>
      <c r="CO39" s="396"/>
      <c r="CP39" s="318" t="s">
        <v>73</v>
      </c>
      <c r="CQ39" s="1341"/>
      <c r="CR39" s="1342"/>
      <c r="CS39" s="308">
        <f>COUNTA(CS10:CS34)-COUNTIF(CS10:CS32,"")</f>
        <v>0</v>
      </c>
      <c r="CT39" s="308">
        <f>COUNTA(CT10:CT34)-COUNTIF(CT10:CT32,"")</f>
        <v>0</v>
      </c>
      <c r="CU39" s="308">
        <f>COUNTA(CU10:CU34)-COUNTIF(CU10:CU32,"")</f>
        <v>0</v>
      </c>
      <c r="CV39" s="309">
        <f>COUNTA(CV10:CV34)-COUNTIF(CV10:CV32,"")</f>
        <v>0</v>
      </c>
      <c r="CW39" s="54">
        <f>SUM(CW10:CW34)</f>
        <v>4</v>
      </c>
      <c r="CX39" s="1277">
        <f>CX38+CY38</f>
        <v>0</v>
      </c>
      <c r="CY39" s="1277"/>
      <c r="CZ39" s="33"/>
      <c r="DA39" s="40">
        <f>SUM(DE10:DE34)</f>
        <v>0</v>
      </c>
      <c r="DB39" s="40">
        <f>IF(DA39=0,"","im Gk-Bereich")</f>
      </c>
      <c r="DC39" s="33"/>
      <c r="DD39" s="33"/>
      <c r="DE39" s="33"/>
      <c r="DF39" s="33"/>
      <c r="DG39" s="33"/>
      <c r="DH39" s="61"/>
      <c r="DI39" s="33"/>
      <c r="DJ39" s="33"/>
      <c r="DK39" s="33"/>
      <c r="DL39" s="33"/>
      <c r="DM39" s="33"/>
      <c r="DN39" s="61"/>
      <c r="DO39" s="33"/>
      <c r="DP39" s="33"/>
      <c r="DQ39" s="52"/>
      <c r="DR39" s="53"/>
      <c r="DS39" s="396"/>
      <c r="DT39" s="318" t="s">
        <v>73</v>
      </c>
      <c r="DU39" s="1341"/>
      <c r="DV39" s="1342"/>
      <c r="DW39" s="308">
        <f>COUNTA(DW10:DW32)-COUNTIF(DW10:DW32,"")</f>
        <v>0</v>
      </c>
      <c r="DX39" s="308">
        <f>COUNTA(DX10:DX32)-COUNTIF(DX10:DX32,"")</f>
        <v>0</v>
      </c>
      <c r="DY39" s="308">
        <f>COUNTA(DY10:DY32)-COUNTIF(DY10:DY32,"")</f>
        <v>0</v>
      </c>
      <c r="DZ39" s="309">
        <f>COUNTA(DZ10:DZ32)-COUNTIF(DZ10:DZ32,"")</f>
        <v>0</v>
      </c>
      <c r="EA39" s="54">
        <f>SUM(EA10:EA34)</f>
        <v>4</v>
      </c>
      <c r="EB39" s="1277">
        <f>EB38+EC38</f>
        <v>0</v>
      </c>
      <c r="EC39" s="1277"/>
      <c r="ED39" s="33"/>
      <c r="EE39" s="40">
        <f>SUM(EG10:EG34)</f>
        <v>0</v>
      </c>
      <c r="EF39" s="40">
        <f>IF(EE39=0,"","im Gk-Bereich")</f>
      </c>
      <c r="EG39" s="33"/>
      <c r="EH39" s="33"/>
      <c r="EI39" s="33"/>
      <c r="EJ39" s="33"/>
      <c r="EK39" s="33"/>
      <c r="EL39" s="61"/>
      <c r="EM39" s="61"/>
      <c r="EN39" s="33"/>
      <c r="EO39" s="33"/>
      <c r="EP39" s="248"/>
      <c r="EQ39" s="248"/>
      <c r="ER39" s="248"/>
      <c r="ES39" s="61"/>
      <c r="ET39" s="938">
        <f t="shared" si="127"/>
        <v>2</v>
      </c>
      <c r="EU39" s="1037"/>
      <c r="EV39" s="938" t="e">
        <f>IF(ET39="","",($ES$37+SUM($FF$11:FF12))/(ET39+8))</f>
        <v>#NUM!</v>
      </c>
      <c r="EW39" s="324"/>
      <c r="EX39" s="324"/>
      <c r="EY39" s="324"/>
      <c r="EZ39" s="324"/>
      <c r="FA39" s="795"/>
      <c r="FB39" s="712"/>
      <c r="FC39" s="712"/>
      <c r="FD39" s="891"/>
      <c r="FE39" s="715"/>
      <c r="FQ39" s="1054"/>
      <c r="FR39" s="1054"/>
      <c r="FS39" s="1054"/>
      <c r="FT39" s="1054"/>
      <c r="FU39" s="1054"/>
      <c r="FV39" s="822"/>
      <c r="FW39" s="396"/>
      <c r="FX39" s="318" t="s">
        <v>73</v>
      </c>
      <c r="FY39" s="990"/>
      <c r="FZ39" s="991"/>
      <c r="GA39" s="308">
        <f>COUNTA(GA10:GA34)-COUNTIF(GA10:GA32,"")</f>
        <v>0</v>
      </c>
      <c r="GB39" s="308">
        <f>COUNTA(GB10:GB34)-COUNTIF(GB10:GB32,"")</f>
        <v>0</v>
      </c>
      <c r="GC39" s="308">
        <f>COUNTA(GC10:GC34)-COUNTIF(GC10:GC32,"")</f>
        <v>0</v>
      </c>
      <c r="GD39" s="309">
        <f>COUNTA(GD10:GD34)-COUNTIF(GD10:GD32,"")</f>
        <v>0</v>
      </c>
      <c r="GE39" s="54">
        <f>SUM(GE10:GE34)</f>
        <v>4</v>
      </c>
      <c r="GF39" s="992">
        <f>GF38+GG38</f>
        <v>0</v>
      </c>
      <c r="GG39" s="992"/>
      <c r="GI39" s="40">
        <f>SUM(GK10:GK33)</f>
        <v>0</v>
      </c>
      <c r="GJ39" s="40">
        <f>IF(GI39=0,"","im Gk-Bereich")</f>
      </c>
      <c r="GK39" s="33"/>
      <c r="HB39" s="822"/>
      <c r="HC39" s="396"/>
      <c r="HD39" s="318" t="s">
        <v>73</v>
      </c>
      <c r="HE39" s="990"/>
      <c r="HF39" s="991"/>
      <c r="HG39" s="308">
        <f>COUNTA(HG10:HG34)-COUNTIF(HG10:HG32,"")</f>
        <v>0</v>
      </c>
      <c r="HH39" s="308">
        <f>COUNTA(HH10:HH34)-COUNTIF(HH10:HH32,"")</f>
        <v>0</v>
      </c>
      <c r="HI39" s="308">
        <f>COUNTA(HI10:HI34)-COUNTIF(HI10:HI32,"")</f>
        <v>0</v>
      </c>
      <c r="HJ39" s="309">
        <f>COUNTA(HJ10:HJ34)-COUNTIF(HJ10:HJ32,"")</f>
        <v>0</v>
      </c>
      <c r="HK39" s="54">
        <f>SUM(HK10:HK34)</f>
        <v>4</v>
      </c>
      <c r="HL39" s="992">
        <f>HL38+HM38</f>
        <v>0</v>
      </c>
      <c r="HM39" s="992"/>
      <c r="HO39" s="40">
        <f>SUM(HQ10:HQ33)</f>
        <v>0</v>
      </c>
      <c r="HP39" s="40">
        <f>IF(HO39=0,"","im Gk-Bereich")</f>
      </c>
    </row>
    <row r="40" spans="2:224" ht="24" customHeight="1" thickBot="1">
      <c r="B40" s="717"/>
      <c r="C40" s="299"/>
      <c r="D40" s="532"/>
      <c r="E40" s="533"/>
      <c r="F40" s="813"/>
      <c r="G40" s="814" t="s">
        <v>248</v>
      </c>
      <c r="H40" s="300">
        <f>COUNT(H10:H34)</f>
        <v>0</v>
      </c>
      <c r="I40" s="300">
        <f>COUNT(I10:I34)</f>
        <v>0</v>
      </c>
      <c r="J40" s="300">
        <f>COUNT(J10:J34)</f>
        <v>0</v>
      </c>
      <c r="K40" s="300">
        <f>COUNT(K10:K34)</f>
        <v>0</v>
      </c>
      <c r="L40" s="838">
        <f>SUM(L10:L37)</f>
        <v>0</v>
      </c>
      <c r="O40" s="724"/>
      <c r="P40" s="51"/>
      <c r="Q40" s="306"/>
      <c r="R40" s="306"/>
      <c r="S40" s="306"/>
      <c r="Z40" s="382" t="s">
        <v>502</v>
      </c>
      <c r="AA40" s="33">
        <f>IF(OR(AND(Zulassung!G29="",MAX(I30:K30)&gt;0,Z30&lt;&gt;"PL"),AND(H30="",MAX(I30:K30)&gt;0,Z30&lt;&gt;"PL"),AND(I30="",MAX(J30:K30)&gt;0,Z30&lt;&gt;"PL"),AND(J30="",K30&lt;&gt;"",Z30&lt;&gt;"PL")),1,IF(OR(AND(Zulassung!F29="",MAX(Zulassung!G29:K29)&gt;0,AB29&gt;=2),AND(Zulassung!G29="",MAX(H30:K30)&gt;0,AB29&gt;=2),AND(H30="",MAX(I30:K30)&gt;0,AB29&gt;=2),AND(I30="",MAX(J30:K30)&gt;0,AB29&gt;=2),AND(J30="",K30&lt;&gt;"",AB29&gt;=2)),1,0))</f>
        <v>0</v>
      </c>
      <c r="AB40" s="33"/>
      <c r="AC40" s="78"/>
      <c r="AD40" s="78"/>
      <c r="AE40" s="78"/>
      <c r="AF40" s="78"/>
      <c r="AG40" s="78"/>
      <c r="AH40" s="78"/>
      <c r="AI40" s="78"/>
      <c r="AJ40" s="78"/>
      <c r="AK40" s="33"/>
      <c r="AL40" s="33"/>
      <c r="AN40" s="978">
        <v>12</v>
      </c>
      <c r="AO40" s="44">
        <f>IF(OR(AO38="",AO38=0,AO39&lt;&gt;0,ISERROR(MATCH(AO38,$AO12:$BA12,0)=TRUE)),0,MATCH(AO38,$AO12:$BA12,0)+40)</f>
        <v>0</v>
      </c>
      <c r="AP40" s="255">
        <f ca="1">IF(OR(AP$38="",AP38=0,AP39&lt;&gt;0,ISERROR(MATCH(AP$38,$AO12:$BB12,0))=TRUE),0,IF(OR(AND(COUNTIF($AO12:$BB12,AP$38)=1,ISNA(MATCH(MATCH(AP$38,$AO12:$BB12,0)+40,$AO40:AO40,0)=TRUE)),AND(COUNTIF($AO12:$BB12,AP$38)&gt;=2,AP$38&lt;&gt;AO$38)),MATCH(AP$38,$AO12:$BB12,0)+40,IF(AND(COUNTIF($AO12:$BB12,AP$38)&gt;=2,COUNTIF(INDIRECT(ADDRESS(39,MATCH(AP$38,$AO$38:AP38,0)+40,4)&amp;":"&amp;ADDRESS(ROW(AO40),COLUMN(AO40),4)),"&gt;0")&lt;=COUNTIF($AO12:$BB12,AP$38)),MATCH(AP$38,INDIRECT(ADDRESS(12,AO40+1,4)):$BB$12,0)+AO$40,0)))</f>
        <v>0</v>
      </c>
      <c r="AQ40" s="255">
        <f ca="1">IF(OR(AQ$38="",AQ38=0,AQ39&lt;&gt;0,ISERROR(MATCH(AQ$38,$AO12:$BB12,0))=TRUE),0,IF(OR(AND(COUNTIF($AO12:$BB12,AQ$38)=1,ISNA(MATCH(MATCH(AQ$38,$AO12:$BB12,0)+40,$AO40:AP40,0)=TRUE)),AND(COUNTIF($AO12:$BB12,AQ$38)&gt;=2,AQ$38&lt;&gt;AP$38)),MATCH(AQ$38,$AO12:$BB12,0)+40,IF(AND(COUNTIF($AO12:$BB12,AQ$38)&gt;=2,COUNTIF(INDIRECT(ADDRESS(39,MATCH(AQ$38,$AO$38:AQ38,0)+40,4)&amp;":"&amp;ADDRESS(ROW(AP40),COLUMN(AP40),4)),"&gt;0")&lt;=COUNTIF($AO12:$BB12,AQ$38)),MATCH(AQ$38,INDIRECT(ADDRESS(12,AP40+1,4)):$BB$12,0)+AP$40,0)))</f>
        <v>0</v>
      </c>
      <c r="AR40" s="255">
        <f ca="1">IF(OR(AR$38="",AR38=0,AR39&lt;&gt;0,ISERROR(MATCH(AR$38,$AO12:$BB12,0))=TRUE),0,IF(OR(AND(COUNTIF($AO12:$BB12,AR$38)=1,ISNA(MATCH(MATCH(AR$38,$AO12:$BB12,0)+40,$AO40:AQ40,0)=TRUE)),AND(COUNTIF($AO12:$BB12,AR$38)&gt;=2,AR$38&lt;&gt;AQ$38)),MATCH(AR$38,$AO12:$BB12,0)+40,IF(AND(COUNTIF($AO12:$BB12,AR$38)&gt;=2,COUNTIF(INDIRECT(ADDRESS(39,MATCH(AR$38,$AO$38:AR38,0)+40,4)&amp;":"&amp;ADDRESS(ROW(AQ40),COLUMN(AQ40),4)),"&gt;0")&lt;=COUNTIF($AO12:$BB12,AR$38)),MATCH(AR$38,INDIRECT(ADDRESS(12,AQ40+1,4)):$BB$12,0)+AQ$40,0)))</f>
        <v>0</v>
      </c>
      <c r="AS40" s="255">
        <f ca="1">IF(OR(AS$38="",AS38=0,AS39&lt;&gt;0,ISERROR(MATCH(AS$38,$AO12:$BB12,0))=TRUE),0,IF(OR(AND(COUNTIF($AO12:$BB12,AS$38)=1,ISNA(MATCH(MATCH(AS$38,$AO12:$BB12,0)+40,$AO40:AR40,0)=TRUE)),AND(COUNTIF($AO12:$BB12,AS$38)&gt;=2,AS$38&lt;&gt;AR$38)),MATCH(AS$38,$AO12:$BB12,0)+40,IF(AND(COUNTIF($AO12:$BB12,AS$38)&gt;=2,COUNTIF(INDIRECT(ADDRESS(39,MATCH(AS$38,$AO$38:AS38,0)+40,4)&amp;":"&amp;ADDRESS(ROW(AR40),COLUMN(AR40),4)),"&gt;0")&lt;=COUNTIF($AO12:$BB12,AS$38)),MATCH(AS$38,INDIRECT(ADDRESS(12,AR40+1,4)):$BB$12,0)+AR$40,0)))</f>
        <v>0</v>
      </c>
      <c r="AT40" s="255">
        <f ca="1">IF(OR(AT$38="",AT38=0,AT39&lt;&gt;0,ISERROR(MATCH(AT$38,$AO12:$BB12,0))=TRUE),0,IF(OR(AND(COUNTIF($AO12:$BB12,AT$38)=1,ISNA(MATCH(MATCH(AT$38,$AO12:$BB12,0)+40,$AO40:AS40,0)=TRUE)),AND(COUNTIF($AO12:$BB12,AT$38)&gt;=2,AT$38&lt;&gt;AS$38)),MATCH(AT$38,$AO12:$BB12,0)+40,IF(AND(COUNTIF($AO12:$BB12,AT$38)&gt;=2,COUNTIF(INDIRECT(ADDRESS(39,MATCH(AT$38,$AO$38:AT38,0)+40,4)&amp;":"&amp;ADDRESS(ROW(AS40),COLUMN(AS40),4)),"&gt;0")&lt;=COUNTIF($AO12:$BB12,AT$38)),MATCH(AT$38,INDIRECT(ADDRESS(12,AS40+1,4)):$BB$12,0)+AS$40,0)))</f>
        <v>0</v>
      </c>
      <c r="AU40" s="255">
        <f ca="1">IF(OR(AU$38="",AU38=0,AU39&lt;&gt;0,ISERROR(MATCH(AU$38,$AO12:$BB12,0))=TRUE),0,IF(OR(AND(COUNTIF($AO12:$BB12,AU$38)=1,ISNA(MATCH(MATCH(AU$38,$AO12:$BB12,0)+40,$AO40:AT40,0)=TRUE)),AND(COUNTIF($AO12:$BB12,AU$38)&gt;=2,AU$38&lt;&gt;AT$38)),MATCH(AU$38,$AO12:$BB12,0)+40,IF(AND(COUNTIF($AO12:$BB12,AU$38)&gt;=2,COUNTIF(INDIRECT(ADDRESS(39,MATCH(AU$38,$AO$38:AU38,0)+40,4)&amp;":"&amp;ADDRESS(ROW(AT40),COLUMN(AT40),4)),"&gt;0")&lt;=COUNTIF($AO12:$BB12,AU$38)),MATCH(AU$38,INDIRECT(ADDRESS(12,AT40+1,4)):$BB$12,0)+AT$40,0)))</f>
        <v>0</v>
      </c>
      <c r="AV40" s="255">
        <f ca="1">IF(OR(AV$38="",AV38=0,AV39&lt;&gt;0,ISERROR(MATCH(AV$38,$AO12:$BB12,0))=TRUE),0,IF(OR(AND(COUNTIF($AO12:$BB12,AV$38)=1,ISNA(MATCH(MATCH(AV$38,$AO12:$BB12,0)+40,$AO40:AU40,0)=TRUE)),AND(COUNTIF($AO12:$BB12,AV$38)&gt;=2,AV$38&lt;&gt;AU$38)),MATCH(AV$38,$AO12:$BB12,0)+40,IF(AND(COUNTIF($AO12:$BB12,AV$38)&gt;=2,COUNTIF(INDIRECT(ADDRESS(39,MATCH(AV$38,$AO$38:AV38,0)+40,4)&amp;":"&amp;ADDRESS(ROW(AU40),COLUMN(AU40),4)),"&gt;0")&lt;=COUNTIF($AO12:$BB12,AV$38)),MATCH(AV$38,INDIRECT(ADDRESS(12,AU40+1,4)):$BB$12,0)+AU$40,0)))</f>
        <v>0</v>
      </c>
      <c r="AX40" s="44">
        <v>3</v>
      </c>
      <c r="AY40" s="61">
        <f t="shared" si="128"/>
        <v>0</v>
      </c>
      <c r="AZ40" s="61">
        <f ca="1">IF(AY40=0,"",IF(OR($AY40="",ISERROR(MATCH($AY40,$AO$44:$AV$44,0))=TRUE),0,IF(OR(AND(COUNTIF($AO$44:$AV$44,$AY40)=1,ISNA(MATCH(MATCH($AY40,$AO$44:$AV$44,0)+40,AZ$38:AZ39,0)=TRUE)),AND(COUNTIF($AO$44:$AV$44,$AY40)&gt;=2,$AY40&lt;&gt;$AY39)),MATCH($AY40,$AO$44:$AV$44,0)+40,IF(AND(COUNTIF($AO$44:$AV$44,$AY40)&gt;=2,COUNTIF(INDIRECT("AZ$"&amp;MATCH($AY40,$AY$38:$AY40,0)+37):AZ39,"&gt;0")&lt;COUNTIF($AO$44:$AV$44,$AY40)),AZ39+1,0))))</f>
      </c>
      <c r="BA40" s="61">
        <f ca="1">IF(AY40=0,"",IF(OR($AY40="",AZ40&lt;&gt;0,ISERROR(MATCH($AY40,$AO$45:$AV$45,0))=TRUE),0,IF(OR(AND(COUNTIF($AO$45:$AV$45,$AY40)=1,ISNA(MATCH(MATCH($AY40,$AO$45:$AV$45,0)+40,BA$38:BA39,0)=TRUE)),AND(COUNTIF($AO$45:$AV$45,$AY40)&gt;=2,$AY40&lt;&gt;$AY39)),MATCH($AY40,$AO$45:$AV$45,0)+40,IF(AND(COUNTIF($AO$45:$AV$45,$AY40)&gt;=2,COUNTIF(INDIRECT("BA$"&amp;MATCH($AY40,$AY$38:$AY40,0)+37):BA39,"&gt;0")&lt;COUNTIF($AO$45:$AV$45,$AY40),BA39&lt;&gt;0),MATCH($AY40,INDIRECT(ADDRESS(45,BA39+1,4)),0)+BA39,IF(BA39=0,MATCH($AY40,$AO$45:$AV$45,0)+40,0)))))</f>
      </c>
      <c r="BB40" s="44">
        <f ca="1" t="shared" si="124"/>
      </c>
      <c r="BC40" s="61">
        <f ca="1">IF(AY40=0,"",IF(AZ40=0,IF(INDIRECT(LEFT(BB40,2)&amp;RIGHT(BB40,2)+6)&gt;=MIN($BC$38:BC39),"",INDIRECT(LEFT(BB40,2)&amp;RIGHT(BB40,2)+6)),IF(INDIRECT(LEFT(BB40,2)&amp;RIGHT(BB40,2)+4)&gt;=MIN($BC$38:BC39),"",INDIRECT(LEFT(BB40,2)&amp;RIGHT(BB40,2)+4))))</f>
      </c>
      <c r="BD40" s="61">
        <f t="shared" si="129"/>
      </c>
      <c r="BE40" s="842">
        <f>TRIM(BE36&amp;BE37&amp;BE38&amp;BE39)</f>
      </c>
      <c r="BF40" s="842" t="str">
        <f>BF39&amp;BE40</f>
        <v>AO</v>
      </c>
      <c r="BG40" s="842" t="str">
        <f>BG39&amp;BE40</f>
        <v>AR</v>
      </c>
      <c r="BH40" s="61"/>
      <c r="BI40" s="61"/>
      <c r="BJ40" s="61"/>
      <c r="BK40" s="248"/>
      <c r="BL40" s="255"/>
      <c r="BM40" s="335"/>
      <c r="BN40" s="61"/>
      <c r="BO40" s="61"/>
      <c r="BP40" s="61"/>
      <c r="BQ40" s="842" t="e">
        <f t="shared" si="130"/>
        <v>#NUM!</v>
      </c>
      <c r="BR40" s="842"/>
      <c r="BS40" s="842"/>
      <c r="BT40" s="842" t="e">
        <f>IF(BQ40="","",($BP$39+SUM($BY$38:BY39))/(BQ40+8))</f>
        <v>#NUM!</v>
      </c>
      <c r="BU40" s="425" t="e">
        <f>IF(OR(BV40&lt;&gt;"",MAX($BU$38:BU39)=3,AND(RIGHT(BX40,2)=RIGHT(BX39,2),VALUE(RIGHT(BX40,2))&gt;30)),0,BU39+1)</f>
        <v>#NUM!</v>
      </c>
      <c r="BV40" s="842" t="e">
        <f>IF(BV39="","",IF(OR(COUNT($BM$10:$BP$30)+$BV39&lt;35,AND(MAX($BV$38:BV39)+$BQ$38&lt;40,AND($BQ40&lt;40,$BY40&gt;$BT40))),BV39+1,""))</f>
        <v>#NUM!</v>
      </c>
      <c r="BW40" s="842" t="s">
        <v>228</v>
      </c>
      <c r="BX40" s="842">
        <f t="shared" si="131"/>
      </c>
      <c r="BY40" s="842">
        <f t="shared" si="125"/>
      </c>
      <c r="BZ40" s="248"/>
      <c r="CA40" s="248">
        <v>3</v>
      </c>
      <c r="CB40" s="248"/>
      <c r="CC40" s="928">
        <f ca="1">IF(OR($BY40="",ISERROR(MATCH($BY40,BW$11:BW$34,0))=TRUE),0,IF(OR(AND(COUNTIF(BW$11:BW$34,$BY40)=1,ISNA(MATCH(MATCH($BY40,$BW$11:$BW$34,0)+10,CC$38:CC39,0)=TRUE)),AND(COUNTIF(BW$11:BW$34,$BY40)&gt;=2,$BY40&lt;&gt;$BY39)),MATCH($BY40,BW$11:BW$34,0)+10,IF(AND(COUNTIF(BW$11:BW$34,$BY40)&gt;=2,COUNTIF(INDIRECT("CC$"&amp;MATCH($BY40,$BY$38:$BY40,0)+37):CC39,"&gt;0")&lt;COUNTIF(BW$11:BW$34,$BY40)),MATCH($BY40,INDIRECT("BW"&amp;CC39+1):$BW$34,0)+CC39,0)))</f>
        <v>0</v>
      </c>
      <c r="CD40" s="255">
        <f ca="1">IF(OR($BY40="",CC40&lt;&gt;0,ISERROR(MATCH($BY40,$BV$11:$BV$34,0))=TRUE),0,IF(OR(AND(COUNTIF($BV$11:$BV$34,$BY40)=1,ISNA(MATCH(MATCH($BY40,$BV$11:$BV$34,0)+10,CD$38:CD39,0)=TRUE)),AND(COUNTIF($BV$11:$BV$34,$BY40)&gt;=2,$BY40&lt;&gt;$BY39)),MATCH($BY40,$BV$11:$BV$34,0)+10,IF(AND(COUNTIF($BV$11:$BV$34,$BY40)&gt;=2,COUNTIF(INDIRECT("CD$"&amp;MATCH($BY40,$BY$38:$BY40,0)+37):CD39,"&gt;0")&lt;COUNTIF($BV$11:$BV$34,$BY40)),MATCH($BY40,INDIRECT("BV"&amp;CD39+1):$BV$34,0)+CD39,0)))</f>
        <v>0</v>
      </c>
      <c r="CE40" s="255">
        <f ca="1">IF(OR($BY40="",CC40&lt;&gt;0,CD40&lt;&gt;0,ISERROR(MATCH($BY40,BU$11:BU$34,0))=TRUE),0,IF(OR(AND(COUNTIF(BU$11:BU$34,$BY40)=1,ISNA(MATCH(MATCH($BY40,$BU$11:$BU$34,0)+10,CE$38:CE39,0)=TRUE)),AND(COUNTIF(BU$11:BU$34,$BY40)&gt;=2,$BY40&lt;&gt;$BY39)),MATCH($BY40,BU$11:BU$34,0)+10,IF(AND(COUNTIF(BU$11:BU$34,$BY40)&gt;=2,COUNTIF(INDIRECT("CE$"&amp;MATCH($BY40,$BY$38:$BY40,0)+37):CE39,"&gt;0")&lt;COUNTIF(BU$11:BU$34,$BY40)),MATCH($BY40,INDIRECT("BU"&amp;CE39+1):$BU$34,0)+CE39,0)))</f>
        <v>0</v>
      </c>
      <c r="CF40" s="929">
        <f ca="1">IF(OR($BY40="",CC40&lt;&gt;0,CD40&lt;&gt;0,CE40&lt;&gt;0,ISERROR(MATCH($BY40,BT$11:BT$34,0))=TRUE),0,IF(OR(AND(COUNTIF(BT$11:BT$34,$BY40)=1,ISNA(MATCH(MATCH($BY40,$BT$11:$BT$34,0)+10,CF$38:CF39,0)=TRUE)),AND(COUNTIF(BT$11:BT$34,$BY40)&gt;=2,$BY40&lt;&gt;$BY39)),MATCH($BY40,BT$11:BT$34,0)+10,IF(AND(COUNTIF(BT$11:BT$34,$BY40)&gt;=2,COUNTIF(INDIRECT("CF$"&amp;MATCH($BY40,$BY$38:$BY40,0)+37):CF39,"&gt;0")&lt;COUNTIF(BT$11:BT$34,$BY40)),MATCH($BY40,INDIRECT("BT"&amp;CF39+1):$BT$34,0)+CF39,0)))</f>
        <v>0</v>
      </c>
      <c r="CG40" s="248"/>
      <c r="CH40" s="248">
        <f t="shared" si="132"/>
      </c>
      <c r="CI40" s="248"/>
      <c r="CJ40" s="61">
        <f>IF(CH40="","",BQ41)</f>
      </c>
      <c r="CK40" s="290"/>
      <c r="CL40" s="290"/>
      <c r="CM40" s="1459" t="s">
        <v>429</v>
      </c>
      <c r="CN40" s="1459"/>
      <c r="CO40" s="1459"/>
      <c r="CP40" s="1459"/>
      <c r="CQ40" s="1459"/>
      <c r="CR40" s="1459"/>
      <c r="CS40" s="1460" t="str">
        <f>CX39&amp;" : "&amp;CW38+8&amp;" ="</f>
        <v>0 : 8 =</v>
      </c>
      <c r="CT40" s="1460"/>
      <c r="CU40" s="386">
        <f>CX39/(CW38+8)</f>
        <v>0</v>
      </c>
      <c r="CV40" s="1461" t="str">
        <f>ROUND(CU40,2)&amp;" * 40 ="</f>
        <v>0 * 40 =</v>
      </c>
      <c r="CW40" s="1462"/>
      <c r="CX40" s="1463">
        <f>IF(CX39&lt;100,"",CU40*40)</f>
      </c>
      <c r="CY40" s="1463"/>
      <c r="CZ40" s="51"/>
      <c r="DA40" s="1511">
        <f ca="1">IF(ISNA(MATCH("IV",#REF!,0))=TRUE,"",IF(COUNT(INDIRECT("J"&amp;MATCH("IV",#REF!,0)+14):INDIRECT("M"&amp;MATCH("IV",#REF!,0)+14))&gt;2,"Im Orch./Chor gelten nur 2 Kurse als belegt, weitere sind reine AG's",""))</f>
      </c>
      <c r="DB40" s="1511"/>
      <c r="DC40" s="1511"/>
      <c r="DD40" s="1511"/>
      <c r="DE40" s="248"/>
      <c r="DF40" s="248"/>
      <c r="DG40" s="248"/>
      <c r="DH40" s="61"/>
      <c r="DI40" s="290"/>
      <c r="DJ40" s="290"/>
      <c r="DK40" s="248"/>
      <c r="DL40" s="248"/>
      <c r="DM40" s="248"/>
      <c r="DN40" s="61"/>
      <c r="DO40" s="290"/>
      <c r="DP40" s="290"/>
      <c r="DQ40" s="1459" t="s">
        <v>429</v>
      </c>
      <c r="DR40" s="1459"/>
      <c r="DS40" s="1459"/>
      <c r="DT40" s="1459"/>
      <c r="DU40" s="1459"/>
      <c r="DV40" s="1459"/>
      <c r="DW40" s="1460" t="str">
        <f>EB39&amp;" : "&amp;EA38+8&amp;" ="</f>
        <v>0 : 8 =</v>
      </c>
      <c r="DX40" s="1460"/>
      <c r="DY40" s="386">
        <f>EB39/(EA38+8)</f>
        <v>0</v>
      </c>
      <c r="DZ40" s="1461" t="str">
        <f>ROUND(DY40,2)&amp;" * 40 ="</f>
        <v>0 * 40 =</v>
      </c>
      <c r="EA40" s="1462"/>
      <c r="EB40" s="1463">
        <f>IF(EB39&lt;100,"",DY40*40)</f>
      </c>
      <c r="EC40" s="1463"/>
      <c r="ED40" s="51"/>
      <c r="EE40" s="423"/>
      <c r="EF40" s="423"/>
      <c r="EG40" s="423"/>
      <c r="EH40" s="423"/>
      <c r="EI40" s="248"/>
      <c r="EJ40" s="248"/>
      <c r="EK40" s="248"/>
      <c r="EL40" s="61"/>
      <c r="EM40" s="61"/>
      <c r="EN40" s="290"/>
      <c r="EO40" s="290"/>
      <c r="EP40" s="248"/>
      <c r="EQ40" s="248"/>
      <c r="ER40" s="248"/>
      <c r="ES40" s="61"/>
      <c r="ET40" s="938">
        <f t="shared" si="127"/>
        <v>3</v>
      </c>
      <c r="EU40" s="1037"/>
      <c r="EV40" s="938" t="e">
        <f>IF(ET40="","",($ES$37+SUM($FF$11:FF13))/(ET40+8))</f>
        <v>#NUM!</v>
      </c>
      <c r="EW40" s="324"/>
      <c r="EX40" s="324"/>
      <c r="EY40" s="324"/>
      <c r="EZ40" s="324"/>
      <c r="FA40" s="717"/>
      <c r="FB40" s="324"/>
      <c r="FC40" s="373"/>
      <c r="FD40" s="373"/>
      <c r="FE40" s="373"/>
      <c r="FQ40" s="1055"/>
      <c r="FR40" s="1055"/>
      <c r="FS40" s="1055"/>
      <c r="FT40" s="1055"/>
      <c r="FU40" s="1055"/>
      <c r="FV40" s="1002"/>
      <c r="FW40" s="1002"/>
      <c r="FX40" s="1002"/>
      <c r="FY40" s="1002"/>
      <c r="FZ40" s="1002"/>
      <c r="GA40" s="985" t="str">
        <f>GF39&amp;" : "&amp;GE38+8&amp;" ="</f>
        <v>0 : 8 =</v>
      </c>
      <c r="GB40" s="985"/>
      <c r="GC40" s="386">
        <f>GF39/(GE38+8)</f>
        <v>0</v>
      </c>
      <c r="GD40" s="986" t="str">
        <f>ROUND(GC40,2)&amp;" * 40 ="</f>
        <v>0 * 40 =</v>
      </c>
      <c r="GE40" s="298"/>
      <c r="GF40" s="993">
        <f>IF(GF39&lt;100,"",GC40*40)</f>
      </c>
      <c r="GG40" s="993"/>
      <c r="GH40" s="51"/>
      <c r="GI40" s="423">
        <f ca="1">IF(ISNA(MATCH("IV",#REF!,0))=TRUE,"",IF(COUNT(INDIRECT("J"&amp;MATCH("IV",#REF!,0)+14):INDIRECT("M"&amp;MATCH("IV",#REF!,0)+14))&gt;2,"Im Orch./Chor gelten nur 2 Kurse als belegt, weitere sind reine AG's",""))</f>
      </c>
      <c r="GJ40" s="423"/>
      <c r="GK40" s="423"/>
      <c r="GL40" s="423"/>
      <c r="GM40" s="423"/>
      <c r="GN40" s="423"/>
      <c r="GO40" s="423"/>
      <c r="GP40" s="423"/>
      <c r="GQ40" s="423"/>
      <c r="GR40" s="423"/>
      <c r="GS40" s="423"/>
      <c r="HB40" s="1002"/>
      <c r="HC40" s="1002"/>
      <c r="HD40" s="1002"/>
      <c r="HE40" s="1002"/>
      <c r="HF40" s="1002"/>
      <c r="HG40" s="985" t="str">
        <f>HL39&amp;" : "&amp;HK38+8&amp;" ="</f>
        <v>0 : 8 =</v>
      </c>
      <c r="HH40" s="985"/>
      <c r="HI40" s="386">
        <f>HL39/(HK38+8)</f>
        <v>0</v>
      </c>
      <c r="HJ40" s="986" t="str">
        <f>ROUND(HI40,2)&amp;" * 40 ="</f>
        <v>0 * 40 =</v>
      </c>
      <c r="HK40" s="298"/>
      <c r="HL40" s="993">
        <f>IF(HL39&lt;100,"",HI40*40)</f>
      </c>
      <c r="HM40" s="993"/>
      <c r="HN40" s="51"/>
      <c r="HO40" s="423">
        <f ca="1">IF(ISNA(MATCH("IV",#REF!,0))=TRUE,"",IF(COUNT(INDIRECT("J"&amp;MATCH("IV",#REF!,0)+14):INDIRECT("M"&amp;MATCH("IV",#REF!,0)+14))&gt;2,"Im Orch./Chor gelten nur 2 Kurse als belegt, weitere sind reine AG's",""))</f>
      </c>
      <c r="HP40" s="423"/>
    </row>
    <row r="41" spans="2:220" ht="19.5" customHeight="1">
      <c r="B41" s="55"/>
      <c r="C41" s="55"/>
      <c r="D41" s="55"/>
      <c r="E41" s="55"/>
      <c r="F41" s="55"/>
      <c r="G41" s="55"/>
      <c r="H41" s="55"/>
      <c r="I41" s="55"/>
      <c r="J41" s="86"/>
      <c r="K41" s="86"/>
      <c r="L41" s="87"/>
      <c r="M41" s="88"/>
      <c r="N41" s="86"/>
      <c r="O41" s="427"/>
      <c r="P41" s="51"/>
      <c r="Q41" s="306"/>
      <c r="R41" s="306"/>
      <c r="S41" s="306"/>
      <c r="T41" s="1512"/>
      <c r="U41" s="1512"/>
      <c r="V41" s="1512"/>
      <c r="W41" s="1512"/>
      <c r="X41" s="248"/>
      <c r="Z41" s="33"/>
      <c r="AA41" s="33"/>
      <c r="AB41" s="33"/>
      <c r="AC41" s="78"/>
      <c r="AD41" s="78"/>
      <c r="AE41" s="78"/>
      <c r="AF41" s="78"/>
      <c r="AG41" s="78"/>
      <c r="AH41" s="44"/>
      <c r="AI41" s="407">
        <f>MAX(H27:K27)</f>
        <v>0</v>
      </c>
      <c r="AJ41" s="78"/>
      <c r="AK41" s="61"/>
      <c r="AL41" s="33"/>
      <c r="AN41" s="978">
        <v>13</v>
      </c>
      <c r="AO41" s="44">
        <f>IF(OR(AO38="",AO38=0,AO39&lt;&gt;0,AO40&lt;&gt;0,ISERROR(MATCH(AO38,$AO13:$BA13,0)=TRUE)),0,MATCH(AO38,$AO13:$BA13,0)+40)</f>
        <v>0</v>
      </c>
      <c r="AP41" s="255">
        <f ca="1">IF(OR(AP$38="",AP38=0,AP39&lt;&gt;0,AP40&lt;&gt;0,ISERROR(MATCH(AP$38,$AO13:$BB13,0))=TRUE),0,IF(OR(AND(COUNTIF($AO13:$BB13,AP$38)=1,ISNA(MATCH(MATCH(AP$38,$AO13:$BB13,0)+40,$AO41:AO41,0)=TRUE)),AND(COUNTIF($AO13:$BB13,AP$38)&gt;=2,AP$38&lt;&gt;AO$38)),MATCH(AP$38,$AO13:$BB13,0)+40,IF(AND(COUNTIF($AO13:$BB13,AP$38)&gt;=2,COUNTIF(INDIRECT(ADDRESS(40,MATCH(AP$38,$AO$38:AP38,0)+40,4)):AO$38,"&gt;0")&lt;=COUNTIF($AO13:$BB13,AP$38)),MATCH(AP$38,INDIRECT(ADDRESS(13,AO$41+1,4)):$BB$13,0)+AO$41,0)))</f>
        <v>0</v>
      </c>
      <c r="AQ41" s="255">
        <f ca="1">IF(OR(AQ$38="",AQ38=0,AQ39&lt;&gt;0,AQ40&lt;&gt;0,ISERROR(MATCH(AQ$38,$AO13:$BB13,0))=TRUE),0,IF(OR(AND(COUNTIF($AO13:$BB13,AQ$38)=1,ISNA(MATCH(MATCH(AQ$38,$AO13:$BB13,0)+40,$AO41:AP41,0)=TRUE)),AND(COUNTIF($AO13:$BB13,AQ$38)&gt;=2,AQ$38&lt;&gt;AP$38)),MATCH(AQ$38,$AO13:$BB13,0)+40,IF(AND(COUNTIF($AO13:$BB13,AQ$38)&gt;=2,COUNTIF(INDIRECT(ADDRESS(40,MATCH(AQ$38,$AO$38:AQ38,0)+40,4)):AP$38,"&gt;0")&lt;=COUNTIF($AO13:$BB13,AQ$38)),MATCH(AQ$38,INDIRECT(ADDRESS(13,AP$41+1,4)):$BB$13,0)+AP$41,0)))</f>
        <v>0</v>
      </c>
      <c r="AR41" s="255">
        <f ca="1">IF(OR(AR$38="",AR38=0,AR39&lt;&gt;0,AR40&lt;&gt;0,ISERROR(MATCH(AR$38,$AO13:$BB13,0))=TRUE),0,IF(OR(AND(COUNTIF($AO13:$BB13,AR$38)=1,ISNA(MATCH(MATCH(AR$38,$AO13:$BB13,0)+40,$AO41:AQ41,0)=TRUE)),AND(COUNTIF($AO13:$BB13,AR$38)&gt;=2,AR$38&lt;&gt;AQ$38)),MATCH(AR$38,$AO13:$BB13,0)+40,IF(AND(COUNTIF($AO13:$BB13,AR$38)&gt;=2,COUNTIF(INDIRECT(ADDRESS(40,MATCH(AR$38,$AO$38:AR38,0)+40,4)):AQ$38,"&gt;0")&lt;=COUNTIF($AO13:$BB13,AR$38)),MATCH(AR$38,INDIRECT(ADDRESS(13,AQ$41+1,4)):$BB$13,0)+AQ$41,0)))</f>
        <v>0</v>
      </c>
      <c r="AS41" s="255">
        <f ca="1">IF(OR(AS$38="",AS38=0,AS39&lt;&gt;0,AS40&lt;&gt;0,ISERROR(MATCH(AS$38,$AO13:$BB13,0))=TRUE),0,IF(OR(AND(COUNTIF($AO13:$BB13,AS$38)=1,ISNA(MATCH(MATCH(AS$38,$AO13:$BB13,0)+40,$AO41:AR41,0)=TRUE)),AND(COUNTIF($AO13:$BB13,AS$38)&gt;=2,AS$38&lt;&gt;AR$38)),MATCH(AS$38,$AO13:$BB13,0)+40,IF(AND(COUNTIF($AO13:$BB13,AS$38)&gt;=2,COUNTIF(INDIRECT(ADDRESS(40,MATCH(AS$38,$AO$38:AS38,0)+40,4)):AR$38,"&gt;0")&lt;=COUNTIF($AO13:$BB13,AS$38)),MATCH(AS$38,INDIRECT(ADDRESS(13,AR$41+1,4)):$BB$13,0)+AR$41,0)))</f>
        <v>0</v>
      </c>
      <c r="AT41" s="255">
        <f ca="1">IF(OR(AT$38="",AT38=0,AT39&lt;&gt;0,AT40&lt;&gt;0,ISERROR(MATCH(AT$38,$AO13:$BB13,0))=TRUE),0,IF(OR(AND(COUNTIF($AO13:$BB13,AT$38)=1,ISNA(MATCH(MATCH(AT$38,$AO13:$BB13,0)+40,$AO41:AS41,0)=TRUE)),AND(COUNTIF($AO13:$BB13,AT$38)&gt;=2,AT$38&lt;&gt;AS$38)),MATCH(AT$38,$AO13:$BB13,0)+40,IF(AND(COUNTIF($AO13:$BB13,AT$38)&gt;=2,COUNTIF(INDIRECT(ADDRESS(40,MATCH(AT$38,$AO$38:AT38,0)+40,4)):AS$38,"&gt;0")&lt;=COUNTIF($AO13:$BB13,AT$38)),MATCH(AT$38,INDIRECT(ADDRESS(13,AS$41+1,4)):$BB$13,0)+AS$41,0)))</f>
        <v>0</v>
      </c>
      <c r="AU41" s="255">
        <f ca="1">IF(OR(AU$38="",AU38=0,AU39&lt;&gt;0,AU40&lt;&gt;0,ISERROR(MATCH(AU$38,$AO13:$BB13,0))=TRUE),0,IF(OR(AND(COUNTIF($AO13:$BB13,AU$38)=1,ISNA(MATCH(MATCH(AU$38,$AO13:$BB13,0)+40,$AO41:AT41,0)=TRUE)),AND(COUNTIF($AO13:$BB13,AU$38)&gt;=2,AU$38&lt;&gt;AT$38)),MATCH(AU$38,$AO13:$BB13,0)+40,IF(AND(COUNTIF($AO13:$BB13,AU$38)&gt;=2,COUNTIF(INDIRECT(ADDRESS(40,MATCH(AU$38,$AO$38:AU38,0)+40,4)):AT$38,"&gt;0")&lt;=COUNTIF($AO13:$BB13,AU$38)),MATCH(AU$38,INDIRECT(ADDRESS(13,AT$41+1,4)):$BB$13,0)+AT$41,0)))</f>
        <v>0</v>
      </c>
      <c r="AV41" s="255">
        <f ca="1">IF(OR(AV$38="",AV38=0,AV39&lt;&gt;0,AV40&lt;&gt;0,ISERROR(MATCH(AV$38,$AO13:$BB13,0))=TRUE),0,IF(OR(AND(COUNTIF($AO13:$BB13,AV$38)=1,ISNA(MATCH(MATCH(AV$38,$AO13:$BB13,0)+40,$AO41:AU41,0)=TRUE)),AND(COUNTIF($AO13:$BB13,AV$38)&gt;=2,AV$38&lt;&gt;AU$38)),MATCH(AV$38,$AO13:$BB13,0)+40,IF(AND(COUNTIF($AO13:$BB13,AV$38)&gt;=2,COUNTIF(INDIRECT(ADDRESS(40,MATCH(AV$38,$AO$38:AV38,0)+40,4)):AU$38,"&gt;0")&lt;=COUNTIF($AO13:$BB13,AV$38)),MATCH(AV$38,INDIRECT(ADDRESS(13,AU$41+1,4)):$BB$13,0)+AU$41,0)))</f>
        <v>0</v>
      </c>
      <c r="AX41" s="44">
        <v>4</v>
      </c>
      <c r="AY41" s="61">
        <f t="shared" si="128"/>
        <v>0</v>
      </c>
      <c r="AZ41" s="61">
        <f ca="1">IF(AY41=0,"",IF(OR($AY41="",ISERROR(MATCH($AY41,$AO$44:$AV$44,0))=TRUE),0,IF(OR(AND(COUNTIF($AO$44:$AV$44,$AY41)=1,ISNA(MATCH(MATCH($AY41,$AO$44:$AV$44,0)+40,AZ$38:AZ40,0)=TRUE)),AND(COUNTIF($AO$44:$AV$44,$AY41)&gt;=2,$AY41&lt;&gt;$AY40)),MATCH($AY41,$AO$44:$AV$44,0)+40,IF(AND(COUNTIF($AO$44:$AV$44,$AY41)&gt;=2,COUNTIF(INDIRECT("AZ$"&amp;MATCH($AY41,$AY$38:$AY41,0)+37):AZ40,"&gt;0")&lt;COUNTIF($AO$44:$AV$44,$AY41)),AZ40+1,0))))</f>
      </c>
      <c r="BA41" s="61">
        <f ca="1">IF(AY41=0,"",IF(OR($AY41="",AZ41&lt;&gt;0,ISERROR(MATCH($AY41,$AO$45:$AV$45,0))=TRUE),0,IF(OR(AND(COUNTIF($AO$45:$AV$45,$AY41)=1,ISNA(MATCH(MATCH($AY41,$AO$45:$AV$45,0)+40,BA$38:BA40,0)=TRUE)),AND(COUNTIF($AO$45:$AV$45,$AY41)&gt;=2,$AY41&lt;&gt;$AY40)),MATCH($AY41,$AO$45:$AV$45,0)+40,IF(AND(COUNTIF($AO$45:$AV$45,$AY41)&gt;=2,COUNTIF(INDIRECT("BA$"&amp;MATCH($AY41,$AY$38:$AY41,0)+37):BA40,"&gt;0")&lt;COUNTIF($AO$45:$AV$45,$AY41),BA40&lt;&gt;0),MATCH($AY41,INDIRECT(ADDRESS(45,BA40+1,4)),0)+BA40,IF(BA40=0,MATCH($AY41,$AO$45:$AV$45,0)+40,0)))))</f>
      </c>
      <c r="BB41" s="44">
        <f ca="1">IF(AY41=0,"",IF(AZ41=0,INDIRECT(ADDRESS(49,BA41,4)),INDIRECT(ADDRESS(42,AZ41,4))))</f>
      </c>
      <c r="BC41" s="61">
        <f ca="1">IF(AY41=0,"",IF(AZ41=0,IF(INDIRECT(LEFT(BB41,2)&amp;RIGHT(BB41,2)+6)&gt;=MIN($BC$38:BC40),"",INDIRECT(LEFT(BB41,2)&amp;RIGHT(BB41,2)+6)),IF(INDIRECT(LEFT(BB41,2)&amp;RIGHT(BB41,2)+4)&gt;=MIN($BC$38:BC40),"",INDIRECT(LEFT(BB41,2)&amp;RIGHT(BB41,2)+4))))</f>
      </c>
      <c r="BD41" s="61">
        <f t="shared" si="129"/>
      </c>
      <c r="BE41" s="61"/>
      <c r="BF41" s="61"/>
      <c r="BG41" s="61"/>
      <c r="BH41" s="61"/>
      <c r="BI41" s="61"/>
      <c r="BJ41" s="61"/>
      <c r="BK41" s="248"/>
      <c r="BL41" s="255"/>
      <c r="BM41" s="61"/>
      <c r="BN41" s="61"/>
      <c r="BO41" s="61"/>
      <c r="BP41" s="61"/>
      <c r="BQ41" s="842" t="e">
        <f t="shared" si="130"/>
        <v>#NUM!</v>
      </c>
      <c r="BR41" s="842"/>
      <c r="BS41" s="842"/>
      <c r="BT41" s="842" t="e">
        <f>IF(BQ41="","",($BP$39+SUM($BY$38:BY40))/(BQ41+8))</f>
        <v>#NUM!</v>
      </c>
      <c r="BU41" s="425" t="e">
        <f>IF(OR(BV41&lt;&gt;"",MAX($BU$38:BU40)=3,AND(RIGHT(BX41,2)=RIGHT(BX40,2),VALUE(RIGHT(BX41,2))&gt;30)),0,BU40+1)</f>
        <v>#NUM!</v>
      </c>
      <c r="BV41" s="842" t="e">
        <f>IF(BV40="","",IF(OR(COUNT($BM$10:$BP$30)+$BV40&lt;35,AND(MAX($BV$38:BV40)+$BQ$38&lt;40,AND($BQ41&lt;40,$BY41&gt;$BT41))),BV40+1,""))</f>
        <v>#NUM!</v>
      </c>
      <c r="BW41" s="842" t="s">
        <v>229</v>
      </c>
      <c r="BX41" s="842">
        <f t="shared" si="131"/>
      </c>
      <c r="BY41" s="842">
        <f t="shared" si="125"/>
      </c>
      <c r="BZ41" s="61"/>
      <c r="CA41" s="248">
        <v>4</v>
      </c>
      <c r="CB41" s="248"/>
      <c r="CC41" s="928">
        <f ca="1">IF(OR($BY41="",ISERROR(MATCH($BY41,BW$11:BW$34,0))=TRUE),0,IF(OR(AND(COUNTIF(BW$11:BW$34,$BY41)=1,ISNA(MATCH(MATCH($BY41,$BW$11:$BW$34,0)+10,CC$38:CC40,0)=TRUE)),AND(COUNTIF(BW$11:BW$34,$BY41)&gt;=2,$BY41&lt;&gt;$BY40)),MATCH($BY41,BW$11:BW$34,0)+10,IF(AND(COUNTIF(BW$11:BW$34,$BY41)&gt;=2,COUNTIF(INDIRECT("CC$"&amp;MATCH($BY41,$BY$38:$BY41,0)+37):CC40,"&gt;0")&lt;COUNTIF(BW$11:BW$34,$BY41)),MATCH($BY41,INDIRECT("BW"&amp;CC40+1):$BW$34,0)+CC40,0)))</f>
        <v>0</v>
      </c>
      <c r="CD41" s="255">
        <f ca="1">IF(OR($BY41="",CC41&lt;&gt;0,ISERROR(MATCH($BY41,$BV$11:$BV$34,0))=TRUE),0,IF(OR(AND(COUNTIF($BV$11:$BV$34,$BY41)=1,ISNA(MATCH(MATCH($BY41,$BV$11:$BV$34,0)+10,CD$38:CD40,0)=TRUE)),AND(COUNTIF($BV$11:$BV$34,$BY41)&gt;=2,$BY41&lt;&gt;$BY40)),MATCH($BY41,$BV$11:$BV$34,0)+10,IF(AND(COUNTIF($BV$11:$BV$34,$BY41)&gt;=2,COUNTIF(INDIRECT("CD$"&amp;MATCH($BY41,$BY$38:$BY41,0)+37):CD40,"&gt;0")&lt;COUNTIF($BV$11:$BV$34,$BY41)),MATCH($BY41,INDIRECT("BV"&amp;CD40+1):$BV$34,0)+CD40,0)))</f>
        <v>0</v>
      </c>
      <c r="CE41" s="255">
        <f ca="1">IF(OR($BY41="",CC41&lt;&gt;0,CD41&lt;&gt;0,ISERROR(MATCH($BY41,BU$11:BU$34,0))=TRUE),0,IF(OR(AND(COUNTIF(BU$11:BU$34,$BY41)=1,ISNA(MATCH(MATCH($BY41,$BU$11:$BU$34,0)+10,CE$38:CE40,0)=TRUE)),AND(COUNTIF(BU$11:BU$34,$BY41)&gt;=2,$BY41&lt;&gt;$BY40)),MATCH($BY41,BU$11:BU$34,0)+10,IF(AND(COUNTIF(BU$11:BU$34,$BY41)&gt;=2,COUNTIF(INDIRECT("CE$"&amp;MATCH($BY41,$BY$38:$BY41,0)+37):CE40,"&gt;0")&lt;COUNTIF(BU$11:BU$34,$BY41)),MATCH($BY41,INDIRECT("BU"&amp;CE40+1):$BU$34,0)+CE40,0)))</f>
        <v>0</v>
      </c>
      <c r="CF41" s="929">
        <f ca="1">IF(OR($BY41="",CC41&lt;&gt;0,CD41&lt;&gt;0,CE41&lt;&gt;0,ISERROR(MATCH($BY41,BT$11:BT$34,0))=TRUE),0,IF(OR(AND(COUNTIF(BT$11:BT$34,$BY41)=1,ISNA(MATCH(MATCH($BY41,$BT$11:$BT$34,0)+10,CF$38:CF40,0)=TRUE)),AND(COUNTIF(BT$11:BT$34,$BY41)&gt;=2,$BY41&lt;&gt;$BY40)),MATCH($BY41,BT$11:BT$34,0)+10,IF(AND(COUNTIF(BT$11:BT$34,$BY41)&gt;=2,COUNTIF(INDIRECT("CF$"&amp;MATCH($BY41,$BY$38:$BY41,0)+37):CF40,"&gt;0")&lt;COUNTIF(BT$11:BT$34,$BY41)),MATCH($BY41,INDIRECT("BT"&amp;CF40+1):$BT$34,0)+CF40,0)))</f>
        <v>0</v>
      </c>
      <c r="CG41" s="248"/>
      <c r="CH41" s="248">
        <f t="shared" si="132"/>
      </c>
      <c r="CI41" s="248"/>
      <c r="CJ41" s="61">
        <f t="shared" si="126"/>
      </c>
      <c r="CK41" s="33"/>
      <c r="CL41" s="33"/>
      <c r="CM41" s="248"/>
      <c r="CN41" s="248"/>
      <c r="CO41" s="248"/>
      <c r="CP41" s="61"/>
      <c r="CQ41" s="33"/>
      <c r="CR41" s="33"/>
      <c r="CS41" s="248"/>
      <c r="CT41" s="248"/>
      <c r="CU41" s="248"/>
      <c r="CV41" s="61"/>
      <c r="CW41" s="33"/>
      <c r="CX41" s="33"/>
      <c r="CY41" s="248"/>
      <c r="CZ41" s="248"/>
      <c r="DA41" s="248"/>
      <c r="DB41" s="61"/>
      <c r="DC41" s="33"/>
      <c r="DD41" s="33"/>
      <c r="DE41" s="248"/>
      <c r="DF41" s="248"/>
      <c r="DG41" s="248"/>
      <c r="DH41" s="61"/>
      <c r="DI41" s="33"/>
      <c r="DJ41" s="33"/>
      <c r="DK41" s="248"/>
      <c r="DL41" s="248"/>
      <c r="DM41" s="248"/>
      <c r="DN41" s="61"/>
      <c r="DO41" s="33"/>
      <c r="DP41" s="33"/>
      <c r="DQ41" s="248"/>
      <c r="DR41" s="248"/>
      <c r="DS41" s="248"/>
      <c r="DT41" s="61"/>
      <c r="DU41" s="33"/>
      <c r="DV41" s="33"/>
      <c r="DW41" s="248"/>
      <c r="DX41" s="248"/>
      <c r="DY41" s="248"/>
      <c r="DZ41" s="61"/>
      <c r="EA41" s="33"/>
      <c r="EB41" s="33"/>
      <c r="EC41" s="248"/>
      <c r="ED41" s="248"/>
      <c r="EE41" s="248">
        <f>EE38+EE39</f>
        <v>0</v>
      </c>
      <c r="EF41" s="86" t="s">
        <v>455</v>
      </c>
      <c r="EG41" s="33"/>
      <c r="EH41" s="33"/>
      <c r="EI41" s="248"/>
      <c r="EJ41" s="248"/>
      <c r="EK41" s="248"/>
      <c r="EL41" s="61"/>
      <c r="EM41" s="61"/>
      <c r="EN41" s="33"/>
      <c r="EO41" s="33"/>
      <c r="EP41" s="248"/>
      <c r="EQ41" s="248"/>
      <c r="ER41" s="248"/>
      <c r="ES41" s="61"/>
      <c r="ET41" s="938">
        <f t="shared" si="127"/>
        <v>4</v>
      </c>
      <c r="EU41" s="1037"/>
      <c r="EV41" s="938" t="e">
        <f>IF(ET41="","",($ES$37+SUM($FF$11:FF14))/(ET41+8))</f>
        <v>#NUM!</v>
      </c>
      <c r="EW41" s="324"/>
      <c r="EX41" s="324"/>
      <c r="EY41" s="324"/>
      <c r="EZ41" s="324"/>
      <c r="FA41" s="712"/>
      <c r="FB41" s="712"/>
      <c r="FC41" s="712"/>
      <c r="FD41" s="712"/>
      <c r="FE41" s="712"/>
      <c r="FF41" s="712"/>
      <c r="FG41" s="712"/>
      <c r="FH41" s="712"/>
      <c r="FI41" s="712"/>
      <c r="FJ41" s="712"/>
      <c r="FK41" s="712"/>
      <c r="FQ41" s="671"/>
      <c r="FR41" s="671"/>
      <c r="FS41" s="671"/>
      <c r="FT41" s="671"/>
      <c r="FU41" s="671"/>
      <c r="FV41" s="671"/>
      <c r="FW41" s="728"/>
      <c r="FX41" s="729"/>
      <c r="FY41" s="671"/>
      <c r="FZ41" s="935"/>
      <c r="GA41" s="935"/>
      <c r="GB41" s="51"/>
      <c r="GC41" s="645"/>
      <c r="GD41" s="645"/>
      <c r="GE41" s="254"/>
      <c r="GI41" s="33">
        <f>GI38+GI39</f>
        <v>0</v>
      </c>
      <c r="GJ41" s="33"/>
      <c r="GK41" s="33"/>
      <c r="HG41" s="712"/>
      <c r="HH41" s="712"/>
      <c r="HI41" s="712"/>
      <c r="HJ41" s="712"/>
      <c r="HK41" s="712"/>
      <c r="HL41" s="712"/>
    </row>
    <row r="42" spans="4:192" ht="19.5" customHeight="1">
      <c r="D42" s="382" t="s">
        <v>375</v>
      </c>
      <c r="F42" s="247" t="s">
        <v>376</v>
      </c>
      <c r="G42" s="247" t="s">
        <v>377</v>
      </c>
      <c r="H42" s="247" t="s">
        <v>170</v>
      </c>
      <c r="I42" s="247" t="s">
        <v>171</v>
      </c>
      <c r="J42" s="247" t="s">
        <v>172</v>
      </c>
      <c r="K42" s="247" t="s">
        <v>173</v>
      </c>
      <c r="L42" s="77"/>
      <c r="M42" s="86"/>
      <c r="N42" s="86"/>
      <c r="O42" s="78"/>
      <c r="T42" s="89"/>
      <c r="X42" s="248"/>
      <c r="Z42" s="33"/>
      <c r="AA42" s="33"/>
      <c r="AB42" s="33"/>
      <c r="AC42" s="78"/>
      <c r="AD42" s="78"/>
      <c r="AE42" s="78"/>
      <c r="AF42" s="78"/>
      <c r="AG42" s="78"/>
      <c r="AH42" s="255"/>
      <c r="AJ42" s="78"/>
      <c r="AK42" s="61"/>
      <c r="AL42" s="33"/>
      <c r="AN42" s="982" t="s">
        <v>450</v>
      </c>
      <c r="AO42" s="981">
        <f>IF(SUM(AO39:AO41)=0,"",IF(AO39&lt;&gt;0,ADDRESS($AN$39,AO39,4),IF(AO40&lt;&gt;0,ADDRESS($AN$40,AO40,4),ADDRESS($AN$41,AO41,4))))</f>
      </c>
      <c r="AP42" s="981">
        <f>IF(SUM(AP39:AP41)=0,"",IF(AP39&lt;&gt;0,ADDRESS($AN$39,AP39,4),IF(AP40&lt;&gt;0,ADDRESS($AN$40,AP40,4),ADDRESS($AN$41,AP41,4))))</f>
      </c>
      <c r="AQ42" s="981">
        <f aca="true" t="shared" si="133" ref="AQ42:AV42">IF(SUM(AQ39:AQ41)=0,"",IF(AQ39&lt;&gt;0,ADDRESS($AN$39,AQ39,4),IF(AQ40&lt;&gt;0,ADDRESS($AN$40,AQ40,4),ADDRESS($AN$41,AQ41,4))))</f>
      </c>
      <c r="AR42" s="981">
        <f t="shared" si="133"/>
      </c>
      <c r="AS42" s="981">
        <f t="shared" si="133"/>
      </c>
      <c r="AT42" s="981">
        <f t="shared" si="133"/>
      </c>
      <c r="AU42" s="981">
        <f t="shared" si="133"/>
      </c>
      <c r="AV42" s="981">
        <f t="shared" si="133"/>
      </c>
      <c r="AX42" s="44">
        <v>5</v>
      </c>
      <c r="AY42" s="61">
        <f t="shared" si="128"/>
        <v>0</v>
      </c>
      <c r="AZ42" s="61">
        <f ca="1">IF(AY42=0,"",IF(OR($AY42="",ISERROR(MATCH($AY42,$AO$44:$AV$44,0))=TRUE),0,IF(OR(AND(COUNTIF($AO$44:$AV$44,$AY42)=1,ISNA(MATCH(MATCH($AY42,$AO$44:$AV$44,0)+40,AZ$38:AZ41,0)=TRUE)),AND(COUNTIF($AO$44:$AV$44,$AY42)&gt;=2,$AY42&lt;&gt;$AY41)),MATCH($AY42,$AO$44:$AV$44,0)+40,IF(AND(COUNTIF($AO$44:$AV$44,$AY42)&gt;=2,COUNTIF(INDIRECT("AZ$"&amp;MATCH($AY42,$AY$38:$AY42,0)+37):AZ41,"&gt;0")&lt;COUNTIF($AO$44:$AV$44,$AY42)),AZ41+1,0))))</f>
      </c>
      <c r="BA42" s="61">
        <f ca="1">IF(AY42=0,"",IF(OR($AY42="",AZ42&lt;&gt;0,ISERROR(MATCH($AY42,$AO$45:$AV$45,0))=TRUE),0,IF(OR(AND(COUNTIF($AO$45:$AV$45,$AY42)=1,ISNA(MATCH(MATCH($AY42,$AO$45:$AV$45,0)+40,BA$38:BA41,0)=TRUE)),AND(COUNTIF($AO$45:$AV$45,$AY42)&gt;=2,$AY42&lt;&gt;$AY41)),MATCH($AY42,$AO$45:$AV$45,0)+40,IF(AND(COUNTIF($AO$45:$AV$45,$AY42)&gt;=2,COUNTIF(INDIRECT("BA$"&amp;MATCH($AY42,$AY$38:$AY42,0)+37):BA41,"&gt;0")&lt;COUNTIF($AO$45:$AV$45,$AY42),BA41&lt;&gt;0),MATCH($AY42,INDIRECT(ADDRESS(45,BA41+1,4)),0)+BA41,IF(BA41=0,MATCH($AY42,$AO$45:$AV$45,0)+40,0)))))</f>
      </c>
      <c r="BB42" s="44">
        <f ca="1" t="shared" si="124"/>
      </c>
      <c r="BC42" s="61">
        <f ca="1">IF(AY42=0,"",IF(AZ42=0,IF(INDIRECT(LEFT(BB42,2)&amp;RIGHT(BB42,2)+6)&gt;=MIN($BC$38:BC41),"",INDIRECT(LEFT(BB42,2)&amp;RIGHT(BB42,2)+6)),IF(INDIRECT(LEFT(BB42,2)&amp;RIGHT(BB42,2)+4)&gt;=MIN($BC$38:BC41),"",INDIRECT(LEFT(BB42,2)&amp;RIGHT(BB42,2)+4))))</f>
      </c>
      <c r="BD42" s="61">
        <f t="shared" si="129"/>
      </c>
      <c r="BE42" s="842">
        <f>IF(BE11="","",ROW(BE11))</f>
      </c>
      <c r="BF42" s="61"/>
      <c r="BG42" s="61"/>
      <c r="BH42" s="61"/>
      <c r="BI42" s="61"/>
      <c r="BJ42" s="61"/>
      <c r="BK42" s="248"/>
      <c r="BL42" s="255"/>
      <c r="BM42" s="336"/>
      <c r="BN42" s="248"/>
      <c r="BO42" s="248"/>
      <c r="BP42" s="61"/>
      <c r="BQ42" s="842" t="e">
        <f t="shared" si="130"/>
        <v>#NUM!</v>
      </c>
      <c r="BR42" s="842"/>
      <c r="BS42" s="842"/>
      <c r="BT42" s="842" t="e">
        <f>IF(BQ42="","",($BP$39+SUM($BY$38:BY41))/(BQ42+8))</f>
        <v>#NUM!</v>
      </c>
      <c r="BU42" s="425" t="e">
        <f>IF(OR(BV42&lt;&gt;"",MAX($BU$38:BU41)=3,AND(RIGHT(BX42,2)=RIGHT(BX41,2),VALUE(RIGHT(BX42,2))&gt;30)),0,BU41+1)</f>
        <v>#NUM!</v>
      </c>
      <c r="BV42" s="842" t="e">
        <f>IF(BV41="","",IF(OR(COUNT($BM$10:$BP$30)+$BV41&lt;35,AND(MAX($BV$38:BV41)+$BQ$38&lt;40,AND($BQ42&lt;40,$BY42&gt;$BT42))),BV41+1,""))</f>
        <v>#NUM!</v>
      </c>
      <c r="BW42" s="842" t="s">
        <v>230</v>
      </c>
      <c r="BX42" s="842">
        <f t="shared" si="131"/>
      </c>
      <c r="BY42" s="842">
        <f t="shared" si="125"/>
      </c>
      <c r="BZ42" s="61"/>
      <c r="CA42" s="248">
        <v>5</v>
      </c>
      <c r="CB42" s="248"/>
      <c r="CC42" s="928">
        <f ca="1">IF(OR($BY42="",ISERROR(MATCH($BY42,BW$11:BW$34,0))=TRUE),0,IF(OR(AND(COUNTIF(BW$11:BW$34,$BY42)=1,ISNA(MATCH(MATCH($BY42,$BW$11:$BW$34,0)+10,CC$38:CC41,0)=TRUE)),AND(COUNTIF(BW$11:BW$34,$BY42)&gt;=2,$BY42&lt;&gt;$BY41)),MATCH($BY42,BW$11:BW$34,0)+10,IF(AND(COUNTIF(BW$11:BW$34,$BY42)&gt;=2,COUNTIF(INDIRECT("CC$"&amp;MATCH($BY42,$BY$38:$BY42,0)+37):CC41,"&gt;0")&lt;COUNTIF(BW$11:BW$34,$BY42)),MATCH($BY42,INDIRECT("BW"&amp;CC41+1):$BW$34,0)+CC41,0)))</f>
        <v>0</v>
      </c>
      <c r="CD42" s="255">
        <f ca="1">IF(OR($BY42="",CC42&lt;&gt;0,ISERROR(MATCH($BY42,$BV$11:$BV$34,0))=TRUE),0,IF(OR(AND(COUNTIF($BV$11:$BV$34,$BY42)=1,ISNA(MATCH(MATCH($BY42,$BV$11:$BV$34,0)+10,CD$38:CD41,0)=TRUE)),AND(COUNTIF($BV$11:$BV$34,$BY42)&gt;=2,$BY42&lt;&gt;$BY41)),MATCH($BY42,$BV$11:$BV$34,0)+10,IF(AND(COUNTIF($BV$11:$BV$34,$BY42)&gt;=2,COUNTIF(INDIRECT("CD$"&amp;MATCH($BY42,$BY$38:$BY42,0)+37):CD41,"&gt;0")&lt;COUNTIF($BV$11:$BV$34,$BY42)),MATCH($BY42,INDIRECT("BV"&amp;CD41+1):$BV$34,0)+CD41,0)))</f>
        <v>0</v>
      </c>
      <c r="CE42" s="255">
        <f ca="1">IF(OR($BY42="",CC42&lt;&gt;0,CD42&lt;&gt;0,ISERROR(MATCH($BY42,BU$11:BU$34,0))=TRUE),0,IF(OR(AND(COUNTIF(BU$11:BU$34,$BY42)=1,ISNA(MATCH(MATCH($BY42,$BU$11:$BU$34,0)+10,CE$38:CE41,0)=TRUE)),AND(COUNTIF(BU$11:BU$34,$BY42)&gt;=2,$BY42&lt;&gt;$BY41)),MATCH($BY42,BU$11:BU$34,0)+10,IF(AND(COUNTIF(BU$11:BU$34,$BY42)&gt;=2,COUNTIF(INDIRECT("CE$"&amp;MATCH($BY42,$BY$38:$BY42,0)+37):CE41,"&gt;0")&lt;COUNTIF(BU$11:BU$34,$BY42)),MATCH($BY42,INDIRECT("BU"&amp;CE41+1):$BU$34,0)+CE41,0)))</f>
        <v>0</v>
      </c>
      <c r="CF42" s="929">
        <f ca="1">IF(OR($BY42="",CC42&lt;&gt;0,CD42&lt;&gt;0,CE42&lt;&gt;0,ISERROR(MATCH($BY42,BT$11:BT$34,0))=TRUE),0,IF(OR(AND(COUNTIF(BT$11:BT$34,$BY42)=1,ISNA(MATCH(MATCH($BY42,$BT$11:$BT$34,0)+10,CF$38:CF41,0)=TRUE)),AND(COUNTIF(BT$11:BT$34,$BY42)&gt;=2,$BY42&lt;&gt;$BY41)),MATCH($BY42,BT$11:BT$34,0)+10,IF(AND(COUNTIF(BT$11:BT$34,$BY42)&gt;=2,COUNTIF(INDIRECT("CF$"&amp;MATCH($BY42,$BY$38:$BY42,0)+37):CF41,"&gt;0")&lt;COUNTIF(BT$11:BT$34,$BY42)),MATCH($BY42,INDIRECT("BT"&amp;CF41+1):$BT$34,0)+CF41,0)))</f>
        <v>0</v>
      </c>
      <c r="CG42" s="248"/>
      <c r="CH42" s="248">
        <f t="shared" si="132"/>
      </c>
      <c r="CI42" s="248"/>
      <c r="CJ42" s="61">
        <f t="shared" si="126"/>
      </c>
      <c r="CK42" s="33"/>
      <c r="CL42" s="33"/>
      <c r="CM42" s="248"/>
      <c r="CN42" s="248"/>
      <c r="CO42" s="248"/>
      <c r="CP42" s="61"/>
      <c r="CQ42" s="33"/>
      <c r="CR42" s="33"/>
      <c r="CS42" s="248"/>
      <c r="CT42" s="248"/>
      <c r="CU42" s="248"/>
      <c r="CV42" s="61"/>
      <c r="CW42" s="33"/>
      <c r="CX42" s="33"/>
      <c r="CY42" s="248"/>
      <c r="CZ42" s="248"/>
      <c r="DA42" s="248"/>
      <c r="DB42" s="61"/>
      <c r="DC42" s="33"/>
      <c r="DD42" s="33"/>
      <c r="DE42" s="248"/>
      <c r="DF42" s="248"/>
      <c r="DG42" s="248"/>
      <c r="DH42" s="61"/>
      <c r="DI42" s="33"/>
      <c r="DJ42" s="33"/>
      <c r="DK42" s="248"/>
      <c r="DL42" s="248"/>
      <c r="DM42" s="248"/>
      <c r="DN42" s="61"/>
      <c r="DO42" s="33"/>
      <c r="DP42" s="33"/>
      <c r="DQ42" s="248"/>
      <c r="DR42" s="248"/>
      <c r="DS42" s="248"/>
      <c r="DT42" s="61"/>
      <c r="DU42" s="33"/>
      <c r="DV42" s="33"/>
      <c r="DW42" s="248"/>
      <c r="DX42" s="248"/>
      <c r="DY42" s="248"/>
      <c r="DZ42" s="61"/>
      <c r="EA42" s="33"/>
      <c r="EB42" s="33"/>
      <c r="EC42" s="248"/>
      <c r="ED42" s="248"/>
      <c r="EE42" s="248"/>
      <c r="EF42" s="61"/>
      <c r="EG42" s="33"/>
      <c r="EH42" s="33"/>
      <c r="EI42" s="248"/>
      <c r="EJ42" s="248"/>
      <c r="EK42" s="248"/>
      <c r="EL42" s="61"/>
      <c r="EM42" s="61"/>
      <c r="EN42" s="33"/>
      <c r="EO42" s="33"/>
      <c r="EP42" s="248"/>
      <c r="EQ42" s="248"/>
      <c r="ER42" s="248"/>
      <c r="ES42" s="61"/>
      <c r="ET42" s="938">
        <f t="shared" si="127"/>
        <v>5</v>
      </c>
      <c r="EU42" s="1039"/>
      <c r="EV42" s="938" t="e">
        <f>IF(ET42="","",($ES$37+SUM($FF$11:FF15))/(ET42+8))</f>
        <v>#NUM!</v>
      </c>
      <c r="EW42" s="33"/>
      <c r="EX42" s="33"/>
      <c r="EY42" s="33"/>
      <c r="EZ42" s="33"/>
      <c r="FQ42" s="86"/>
      <c r="FR42" s="86"/>
      <c r="FS42" s="86"/>
      <c r="FT42" s="86"/>
      <c r="FU42" s="86"/>
      <c r="FV42" s="86"/>
      <c r="FW42" s="77"/>
      <c r="FX42" s="86"/>
      <c r="FY42" s="86"/>
      <c r="FZ42" s="931"/>
      <c r="GA42" s="931"/>
      <c r="GJ42" s="89"/>
    </row>
    <row r="43" spans="4:192" ht="19.5" customHeight="1" thickBot="1">
      <c r="D43" s="33" t="s">
        <v>378</v>
      </c>
      <c r="F43" s="61"/>
      <c r="G43" s="61"/>
      <c r="H43" s="61">
        <f aca="true" t="shared" si="134" ref="H43:K44">COUNT(H29)</f>
        <v>0</v>
      </c>
      <c r="I43" s="61">
        <f t="shared" si="134"/>
        <v>0</v>
      </c>
      <c r="J43" s="61">
        <f t="shared" si="134"/>
        <v>0</v>
      </c>
      <c r="K43" s="61">
        <f t="shared" si="134"/>
        <v>0</v>
      </c>
      <c r="N43" s="77"/>
      <c r="O43" s="301"/>
      <c r="T43" s="89"/>
      <c r="X43" s="248"/>
      <c r="Z43" s="33"/>
      <c r="AA43" s="33"/>
      <c r="AB43" s="33"/>
      <c r="AC43" s="78"/>
      <c r="AD43" s="78"/>
      <c r="AE43" s="78"/>
      <c r="AF43" s="78"/>
      <c r="AG43" s="78"/>
      <c r="AH43" s="44"/>
      <c r="AJ43" s="78"/>
      <c r="AK43" s="61"/>
      <c r="AL43" s="33"/>
      <c r="AM43" s="428"/>
      <c r="AN43" s="1022" t="s">
        <v>451</v>
      </c>
      <c r="AO43" s="429">
        <f ca="1">IF(AO42="","",INDIRECT(LEFT(AO42,2)&amp;RIGHT(AO42,2)+4))</f>
      </c>
      <c r="AP43" s="429">
        <f aca="true" ca="1" t="shared" si="135" ref="AP43:AV43">IF(AP42="","",INDIRECT(LEFT(AP42,2)&amp;RIGHT(AP42,2)+4))</f>
      </c>
      <c r="AQ43" s="429">
        <f ca="1" t="shared" si="135"/>
      </c>
      <c r="AR43" s="429">
        <f ca="1" t="shared" si="135"/>
      </c>
      <c r="AS43" s="429">
        <f ca="1" t="shared" si="135"/>
      </c>
      <c r="AT43" s="429">
        <f ca="1" t="shared" si="135"/>
      </c>
      <c r="AU43" s="429">
        <f ca="1" t="shared" si="135"/>
      </c>
      <c r="AV43" s="429">
        <f ca="1" t="shared" si="135"/>
      </c>
      <c r="AX43" s="44">
        <v>6</v>
      </c>
      <c r="AY43" s="61">
        <f t="shared" si="128"/>
        <v>0</v>
      </c>
      <c r="AZ43" s="61">
        <f ca="1">IF(AY43=0,"",IF(OR($AY43="",ISERROR(MATCH($AY43,$AO$44:$AV$44,0))=TRUE),0,IF(OR(AND(COUNTIF($AO$44:$AV$44,$AY43)=1,ISNA(MATCH(MATCH($AY43,$AO$44:$AV$44,0)+40,AZ$38:AZ42,0)=TRUE)),AND(COUNTIF($AO$44:$AV$44,$AY43)&gt;=2,$AY43&lt;&gt;$AY42)),MATCH($AY43,$AO$44:$AV$44,0)+40,IF(AND(COUNTIF($AO$44:$AV$44,$AY43)&gt;=2,COUNTIF(INDIRECT("AZ$"&amp;MATCH($AY43,$AY$38:$AY43,0)+37):AZ42,"&gt;0")&lt;COUNTIF($AO$44:$AV$44,$AY43)),AZ42+1,0))))</f>
      </c>
      <c r="BA43" s="61">
        <f ca="1">IF(AY43=0,"",IF(OR($AY43="",AZ43&lt;&gt;0,ISERROR(MATCH($AY43,$AO$45:$AV$45,0))=TRUE),0,IF(OR(AND(COUNTIF($AO$45:$AV$45,$AY43)=1,ISNA(MATCH(MATCH($AY43,$AO$45:$AV$45,0)+40,BA$38:BA42,0)=TRUE)),AND(COUNTIF($AO$45:$AV$45,$AY43)&gt;=2,$AY43&lt;&gt;$AY42)),MATCH($AY43,$AO$45:$AV$45,0)+40,IF(AND(COUNTIF($AO$45:$AV$45,$AY43)&gt;=2,COUNTIF(INDIRECT("BA$"&amp;MATCH($AY43,$AY$38:$AY43,0)+37):BA42,"&gt;0")&lt;COUNTIF($AO$45:$AV$45,$AY43),BA42&lt;&gt;0),MATCH($AY43,INDIRECT(ADDRESS(45,BA42+1,4)),0)+BA42,IF(BA42=0,MATCH($AY43,$AO$45:$AV$45,0)+40,0)))))</f>
      </c>
      <c r="BB43" s="44">
        <f ca="1" t="shared" si="124"/>
      </c>
      <c r="BC43" s="61">
        <f ca="1">IF(AY43=0,"",IF(AZ43=0,IF(INDIRECT(LEFT(BB43,2)&amp;RIGHT(BB43,2)+6)&gt;=MIN($BC$38:BC42),"",INDIRECT(LEFT(BB43,2)&amp;RIGHT(BB43,2)+6)),IF(INDIRECT(LEFT(BB43,2)&amp;RIGHT(BB43,2)+4)&gt;=MIN($BC$38:BC42),"",INDIRECT(LEFT(BB43,2)&amp;RIGHT(BB43,2)+4))))</f>
      </c>
      <c r="BD43" s="61">
        <f t="shared" si="129"/>
      </c>
      <c r="BE43" s="842">
        <f>IF(BE12="","",ROW(BE12))</f>
      </c>
      <c r="BF43" s="61"/>
      <c r="BG43" s="61"/>
      <c r="BH43" s="61"/>
      <c r="BI43" s="61"/>
      <c r="BJ43" s="61"/>
      <c r="BK43" s="248"/>
      <c r="BL43" s="255"/>
      <c r="BM43" s="61"/>
      <c r="BN43" s="61"/>
      <c r="BO43" s="61"/>
      <c r="BP43" s="61"/>
      <c r="BQ43" s="842" t="e">
        <f t="shared" si="130"/>
        <v>#NUM!</v>
      </c>
      <c r="BR43" s="842"/>
      <c r="BS43" s="842"/>
      <c r="BT43" s="842" t="e">
        <f>IF(BQ43="","",($BP$39+SUM($BY$38:BY42))/(BQ43+8))</f>
        <v>#NUM!</v>
      </c>
      <c r="BU43" s="425" t="e">
        <f>IF(OR(BV43&lt;&gt;"",MAX($BU$38:BU42)=3,AND(RIGHT(BX43,2)=RIGHT(BX42,2),VALUE(RIGHT(BX43,2))&gt;30)),0,BU42+1)</f>
        <v>#NUM!</v>
      </c>
      <c r="BV43" s="842" t="e">
        <f>IF(BV42="","",IF(OR(COUNT($BM$10:$BP$30)+$BV42&lt;35,AND(MAX($BV$38:BV42)+$BQ$38&lt;40,AND($BQ43&lt;40,$BY43&gt;$BT43))),BV42+1,""))</f>
        <v>#NUM!</v>
      </c>
      <c r="BW43" s="842" t="s">
        <v>231</v>
      </c>
      <c r="BX43" s="842">
        <f t="shared" si="131"/>
      </c>
      <c r="BY43" s="842">
        <f t="shared" si="125"/>
      </c>
      <c r="BZ43" s="61"/>
      <c r="CA43" s="248">
        <v>6</v>
      </c>
      <c r="CB43" s="248"/>
      <c r="CC43" s="928">
        <f ca="1">IF(OR($BY43="",ISERROR(MATCH($BY43,BW$11:BW$34,0))=TRUE),0,IF(OR(AND(COUNTIF(BW$11:BW$34,$BY43)=1,ISNA(MATCH(MATCH($BY43,$BW$11:$BW$34,0)+10,CC$38:CC42,0)=TRUE)),AND(COUNTIF(BW$11:BW$34,$BY43)&gt;=2,$BY43&lt;&gt;$BY42)),MATCH($BY43,BW$11:BW$34,0)+10,IF(AND(COUNTIF(BW$11:BW$34,$BY43)&gt;=2,COUNTIF(INDIRECT("CC$"&amp;MATCH($BY43,$BY$38:$BY43,0)+37):CC42,"&gt;0")&lt;COUNTIF(BW$11:BW$34,$BY43)),MATCH($BY43,INDIRECT("BW"&amp;CC42+1):$BW$34,0)+CC42,0)))</f>
        <v>0</v>
      </c>
      <c r="CD43" s="255">
        <f ca="1">IF(OR($BY43="",CC43&lt;&gt;0,ISERROR(MATCH($BY43,$BV$11:$BV$34,0))=TRUE),0,IF(OR(AND(COUNTIF($BV$11:$BV$34,$BY43)=1,ISNA(MATCH(MATCH($BY43,$BV$11:$BV$34,0)+10,CD$38:CD42,0)=TRUE)),AND(COUNTIF($BV$11:$BV$34,$BY43)&gt;=2,$BY43&lt;&gt;$BY42)),MATCH($BY43,$BV$11:$BV$34,0)+10,IF(AND(COUNTIF($BV$11:$BV$34,$BY43)&gt;=2,COUNTIF(INDIRECT("CD$"&amp;MATCH($BY43,$BY$38:$BY43,0)+37):CD42,"&gt;0")&lt;COUNTIF($BV$11:$BV$34,$BY43)),MATCH($BY43,INDIRECT("BV"&amp;CD42+1):$BV$34,0)+CD42,0)))</f>
        <v>0</v>
      </c>
      <c r="CE43" s="255">
        <f ca="1">IF(OR($BY43="",CC43&lt;&gt;0,CD43&lt;&gt;0,ISERROR(MATCH($BY43,BU$11:BU$34,0))=TRUE),0,IF(OR(AND(COUNTIF(BU$11:BU$34,$BY43)=1,ISNA(MATCH(MATCH($BY43,$BU$11:$BU$34,0)+10,CE$38:CE42,0)=TRUE)),AND(COUNTIF(BU$11:BU$34,$BY43)&gt;=2,$BY43&lt;&gt;$BY42)),MATCH($BY43,BU$11:BU$34,0)+10,IF(AND(COUNTIF(BU$11:BU$34,$BY43)&gt;=2,COUNTIF(INDIRECT("CE$"&amp;MATCH($BY43,$BY$38:$BY43,0)+37):CE42,"&gt;0")&lt;COUNTIF(BU$11:BU$34,$BY43)),MATCH($BY43,INDIRECT("BU"&amp;CE42+1):$BU$34,0)+CE42,0)))</f>
        <v>0</v>
      </c>
      <c r="CF43" s="929">
        <f ca="1">IF(OR($BY43="",CC43&lt;&gt;0,CD43&lt;&gt;0,CE43&lt;&gt;0,ISERROR(MATCH($BY43,BT$11:BT$34,0))=TRUE),0,IF(OR(AND(COUNTIF(BT$11:BT$34,$BY43)=1,ISNA(MATCH(MATCH($BY43,$BT$11:$BT$34,0)+10,CF$38:CF42,0)=TRUE)),AND(COUNTIF(BT$11:BT$34,$BY43)&gt;=2,$BY43&lt;&gt;$BY42)),MATCH($BY43,BT$11:BT$34,0)+10,IF(AND(COUNTIF(BT$11:BT$34,$BY43)&gt;=2,COUNTIF(INDIRECT("CF$"&amp;MATCH($BY43,$BY$38:$BY43,0)+37):CF42,"&gt;0")&lt;COUNTIF(BT$11:BT$34,$BY43)),MATCH($BY43,INDIRECT("BT"&amp;CF42+1):$BT$34,0)+CF42,0)))</f>
        <v>0</v>
      </c>
      <c r="CG43" s="248"/>
      <c r="CH43" s="248">
        <f t="shared" si="132"/>
      </c>
      <c r="CI43" s="248"/>
      <c r="CJ43" s="61">
        <f t="shared" si="126"/>
      </c>
      <c r="CK43" s="33"/>
      <c r="CL43" s="33"/>
      <c r="CM43" s="248"/>
      <c r="CN43" s="248"/>
      <c r="CO43" s="248"/>
      <c r="CP43" s="61"/>
      <c r="CQ43" s="33"/>
      <c r="CR43" s="33"/>
      <c r="CS43" s="248"/>
      <c r="CT43" s="248"/>
      <c r="CU43" s="248"/>
      <c r="CV43" s="61"/>
      <c r="CW43" s="33"/>
      <c r="CX43" s="33"/>
      <c r="CY43" s="248"/>
      <c r="CZ43" s="248"/>
      <c r="DA43" s="248"/>
      <c r="DB43" s="61"/>
      <c r="DC43" s="33"/>
      <c r="DD43" s="33"/>
      <c r="DE43" s="248"/>
      <c r="DF43" s="248"/>
      <c r="DG43" s="248"/>
      <c r="DH43" s="61"/>
      <c r="DI43" s="33"/>
      <c r="DJ43" s="33"/>
      <c r="DK43" s="248"/>
      <c r="DL43" s="248"/>
      <c r="DM43" s="248"/>
      <c r="DN43" s="61"/>
      <c r="DO43" s="33"/>
      <c r="DP43" s="33"/>
      <c r="DQ43" s="248"/>
      <c r="DR43" s="248"/>
      <c r="DS43" s="248"/>
      <c r="DT43" s="61"/>
      <c r="DU43" s="33"/>
      <c r="DV43" s="33"/>
      <c r="DW43" s="248"/>
      <c r="DX43" s="248"/>
      <c r="DY43" s="248"/>
      <c r="DZ43" s="61"/>
      <c r="EA43" s="33"/>
      <c r="EB43" s="33"/>
      <c r="EC43" s="248"/>
      <c r="ED43" s="248"/>
      <c r="EE43" s="248"/>
      <c r="EF43" s="61"/>
      <c r="EG43" s="33"/>
      <c r="EH43" s="33"/>
      <c r="EI43" s="248"/>
      <c r="EJ43" s="248"/>
      <c r="EK43" s="248"/>
      <c r="EL43" s="61"/>
      <c r="EM43" s="61"/>
      <c r="EN43" s="33"/>
      <c r="EO43" s="33"/>
      <c r="EP43" s="248"/>
      <c r="EQ43" s="248"/>
      <c r="ER43" s="248"/>
      <c r="ES43" s="61"/>
      <c r="ET43" s="938">
        <f t="shared" si="127"/>
        <v>6</v>
      </c>
      <c r="EU43" s="1039"/>
      <c r="EV43" s="938" t="e">
        <f>IF(ET43="","",($ES$37+SUM($FF$11:FF16))/(ET43+8))</f>
        <v>#NUM!</v>
      </c>
      <c r="EW43" s="33"/>
      <c r="EX43" s="33"/>
      <c r="EY43" s="33"/>
      <c r="EZ43" s="33"/>
      <c r="FQ43" s="86"/>
      <c r="FR43" s="86"/>
      <c r="FS43" s="86"/>
      <c r="FT43" s="86"/>
      <c r="FU43" s="86"/>
      <c r="FV43" s="86"/>
      <c r="FW43" s="90"/>
      <c r="FX43" s="86"/>
      <c r="FY43" s="77"/>
      <c r="FZ43" s="936"/>
      <c r="GA43" s="936"/>
      <c r="GJ43" s="89"/>
    </row>
    <row r="44" spans="4:192" ht="16.5" customHeight="1">
      <c r="D44" s="33" t="s">
        <v>379</v>
      </c>
      <c r="F44" s="61"/>
      <c r="G44" s="61"/>
      <c r="H44" s="61">
        <f t="shared" si="134"/>
        <v>0</v>
      </c>
      <c r="I44" s="61">
        <f t="shared" si="134"/>
        <v>0</v>
      </c>
      <c r="J44" s="61">
        <f t="shared" si="134"/>
        <v>0</v>
      </c>
      <c r="K44" s="61">
        <f t="shared" si="134"/>
        <v>0</v>
      </c>
      <c r="N44" s="77"/>
      <c r="O44" s="78"/>
      <c r="T44" s="89"/>
      <c r="X44" s="248"/>
      <c r="Z44" s="33"/>
      <c r="AA44" s="33"/>
      <c r="AB44" s="33"/>
      <c r="AC44" s="78"/>
      <c r="AD44" s="78"/>
      <c r="AE44" s="78"/>
      <c r="AF44" s="78"/>
      <c r="AG44" s="78"/>
      <c r="AH44" s="44"/>
      <c r="AJ44" s="78"/>
      <c r="AK44" s="61"/>
      <c r="AL44" s="33"/>
      <c r="AN44" s="1027" t="s">
        <v>67</v>
      </c>
      <c r="AO44" s="44">
        <f>AO38</f>
        <v>0</v>
      </c>
      <c r="AP44" s="44">
        <f aca="true" t="shared" si="136" ref="AP44:AV44">AP38</f>
        <v>0</v>
      </c>
      <c r="AQ44" s="44">
        <f t="shared" si="136"/>
        <v>0</v>
      </c>
      <c r="AR44" s="44">
        <f t="shared" si="136"/>
        <v>0</v>
      </c>
      <c r="AS44" s="44">
        <f t="shared" si="136"/>
        <v>0</v>
      </c>
      <c r="AT44" s="44">
        <f t="shared" si="136"/>
        <v>0</v>
      </c>
      <c r="AU44" s="44">
        <f t="shared" si="136"/>
        <v>0</v>
      </c>
      <c r="AV44" s="44">
        <f t="shared" si="136"/>
        <v>0</v>
      </c>
      <c r="AX44" s="44">
        <v>7</v>
      </c>
      <c r="AY44" s="61">
        <f t="shared" si="128"/>
        <v>0</v>
      </c>
      <c r="AZ44" s="61">
        <f ca="1">IF(AY44=0,"",IF(OR($AY44="",ISERROR(MATCH($AY44,$AO$44:$AV$44,0))=TRUE),0,IF(OR(AND(COUNTIF($AO$44:$AV$44,$AY44)=1,ISNA(MATCH(MATCH($AY44,$AO$44:$AV$44,0)+40,AZ$38:AZ43,0)=TRUE)),AND(COUNTIF($AO$44:$AV$44,$AY44)&gt;=2,$AY44&lt;&gt;$AY43)),MATCH($AY44,$AO$44:$AV$44,0)+40,IF(AND(COUNTIF($AO$44:$AV$44,$AY44)&gt;=2,COUNTIF(INDIRECT("AZ$"&amp;MATCH($AY44,$AY$38:$AY44,0)+37):AZ43,"&gt;0")&lt;COUNTIF($AO$44:$AV$44,$AY44)),AZ43+1,0))))</f>
      </c>
      <c r="BA44" s="61">
        <f ca="1">IF(AY44=0,"",IF(OR($AY44="",AZ44&lt;&gt;0,ISERROR(MATCH($AY44,$AO$45:$AV$45,0))=TRUE),0,IF(OR(AND(COUNTIF($AO$45:$AV$45,$AY44)=1,ISNA(MATCH(MATCH($AY44,$AO$45:$AV$45,0)+40,BA$38:BA43,0)=TRUE)),AND(COUNTIF($AO$45:$AV$45,$AY44)&gt;=2,$AY44&lt;&gt;$AY43)),MATCH($AY44,$AO$45:$AV$45,0)+40,IF(AND(COUNTIF($AO$45:$AV$45,$AY44)&gt;=2,COUNTIF(INDIRECT("BA$"&amp;MATCH($AY44,$AY$38:$AY44,0)+37):BA43,"&gt;0")&lt;COUNTIF($AO$45:$AV$45,$AY44),BA43&lt;&gt;0),MATCH($AY44,INDIRECT(ADDRESS(45,BA43+1,4)),0)+BA43,IF(BA43=0,MATCH($AY44,$AO$45:$AV$45,0)+40,0)))))</f>
      </c>
      <c r="BB44" s="44">
        <f ca="1" t="shared" si="124"/>
      </c>
      <c r="BC44" s="61">
        <f ca="1">IF(AY44=0,"",IF(AZ44=0,IF(INDIRECT(LEFT(BB44,2)&amp;RIGHT(BB44,2)+6)&gt;=MIN($BC$38:BC43),"",INDIRECT(LEFT(BB44,2)&amp;RIGHT(BB44,2)+6)),IF(INDIRECT(LEFT(BB44,2)&amp;RIGHT(BB44,2)+4)&gt;=MIN($BC$38:BC43),"",INDIRECT(LEFT(BB44,2)&amp;RIGHT(BB44,2)+4))))</f>
      </c>
      <c r="BD44" s="61">
        <f t="shared" si="129"/>
      </c>
      <c r="BE44" s="842">
        <f>IF(BE13="","",ROW(BE13))</f>
      </c>
      <c r="BF44" s="61"/>
      <c r="BG44" s="61"/>
      <c r="BH44" s="61"/>
      <c r="BI44" s="61"/>
      <c r="BJ44" s="61"/>
      <c r="BK44" s="248"/>
      <c r="BL44" s="255"/>
      <c r="BM44" s="61"/>
      <c r="BN44" s="61"/>
      <c r="BO44" s="61"/>
      <c r="BP44" s="61"/>
      <c r="BQ44" s="842" t="e">
        <f t="shared" si="130"/>
        <v>#NUM!</v>
      </c>
      <c r="BR44" s="842"/>
      <c r="BS44" s="842"/>
      <c r="BT44" s="842" t="e">
        <f>IF(BQ44="","",($BP$39+SUM($BY$38:BY43))/(BQ44+8))</f>
        <v>#NUM!</v>
      </c>
      <c r="BU44" s="425" t="e">
        <f>IF(OR(BV44&lt;&gt;"",MAX($BU$38:BU43)=3,AND(RIGHT(BX44,2)=RIGHT(BX43,2),VALUE(RIGHT(BX44,2))&gt;30)),0,BU43+1)</f>
        <v>#NUM!</v>
      </c>
      <c r="BV44" s="842" t="e">
        <f>IF(BV43="","",IF(OR(COUNT($BM$10:$BP$30)+$BV43&lt;35,AND(MAX($BV$38:BV43)+$BQ$38&lt;40,AND($BQ44&lt;40,$BY44&gt;$BT44))),BV43+1,""))</f>
        <v>#NUM!</v>
      </c>
      <c r="BW44" s="842" t="s">
        <v>232</v>
      </c>
      <c r="BX44" s="842">
        <f>IF(CC44&lt;&gt;0,$CC$37&amp;CC44,IF(CD44&lt;&gt;0,$CD$37&amp;CD44,IF(CE44&lt;&gt;0,$CE$37&amp;CE44,IF(CF44&lt;&gt;0,$CF$37&amp;CF44,""))))</f>
      </c>
      <c r="BY44" s="842">
        <f t="shared" si="125"/>
      </c>
      <c r="BZ44" s="61"/>
      <c r="CA44" s="248">
        <v>7</v>
      </c>
      <c r="CB44" s="248"/>
      <c r="CC44" s="928">
        <f ca="1">IF(OR($BY44="",ISERROR(MATCH($BY44,BW$11:BW$34,0))=TRUE),0,IF(OR(AND(COUNTIF(BW$11:BW$34,$BY44)=1,ISNA(MATCH(MATCH($BY44,$BW$11:$BW$34,0)+10,CC$38:CC43,0)=TRUE)),AND(COUNTIF(BW$11:BW$34,$BY44)&gt;=2,$BY44&lt;&gt;$BY43)),MATCH($BY44,BW$11:BW$34,0)+10,IF(AND(COUNTIF(BW$11:BW$34,$BY44)&gt;=2,COUNTIF(INDIRECT("CC$"&amp;MATCH($BY44,$BY$38:$BY44,0)+37):CC43,"&gt;0")&lt;COUNTIF(BW$11:BW$34,$BY44)),MATCH($BY44,INDIRECT("BW"&amp;CC43+1):$BW$34,0)+CC43,0)))</f>
        <v>0</v>
      </c>
      <c r="CD44" s="255">
        <f ca="1">IF(OR($BY44="",CC44&lt;&gt;0,ISERROR(MATCH($BY44,$BV$11:$BV$34,0))=TRUE),0,IF(OR(AND(COUNTIF($BV$11:$BV$34,$BY44)=1,ISNA(MATCH(MATCH($BY44,$BV$11:$BV$34,0)+10,CD$38:CD43,0)=TRUE)),AND(COUNTIF($BV$11:$BV$34,$BY44)&gt;=2,$BY44&lt;&gt;$BY43)),MATCH($BY44,$BV$11:$BV$34,0)+10,IF(AND(COUNTIF($BV$11:$BV$34,$BY44)&gt;=2,COUNTIF(INDIRECT("CD$"&amp;MATCH($BY44,$BY$38:$BY44,0)+37):CD43,"&gt;0")&lt;COUNTIF($BV$11:$BV$34,$BY44)),MATCH($BY44,INDIRECT("BV"&amp;CD43+1):$BV$34,0)+CD43,0)))</f>
        <v>0</v>
      </c>
      <c r="CE44" s="255">
        <f ca="1">IF(OR($BY44="",CC44&lt;&gt;0,CD44&lt;&gt;0,ISERROR(MATCH($BY44,BU$11:BU$34,0))=TRUE),0,IF(OR(AND(COUNTIF(BU$11:BU$34,$BY44)=1,ISNA(MATCH(MATCH($BY44,$BU$11:$BU$34,0)+10,CE$38:CE43,0)=TRUE)),AND(COUNTIF(BU$11:BU$34,$BY44)&gt;=2,$BY44&lt;&gt;$BY43)),MATCH($BY44,BU$11:BU$34,0)+10,IF(AND(COUNTIF(BU$11:BU$34,$BY44)&gt;=2,COUNTIF(INDIRECT("CE$"&amp;MATCH($BY44,$BY$38:$BY44,0)+37):CE43,"&gt;0")&lt;COUNTIF(BU$11:BU$34,$BY44)),MATCH($BY44,INDIRECT("BU"&amp;CE43+1):$BU$34,0)+CE43,0)))</f>
        <v>0</v>
      </c>
      <c r="CF44" s="929">
        <f ca="1">IF(OR($BY44="",CC44&lt;&gt;0,CD44&lt;&gt;0,CE44&lt;&gt;0,ISERROR(MATCH($BY44,BT$11:BT$34,0))=TRUE),0,IF(OR(AND(COUNTIF(BT$11:BT$34,$BY44)=1,ISNA(MATCH(MATCH($BY44,$BT$11:$BT$34,0)+10,CF$38:CF43,0)=TRUE)),AND(COUNTIF(BT$11:BT$34,$BY44)&gt;=2,$BY44&lt;&gt;$BY43)),MATCH($BY44,BT$11:BT$34,0)+10,IF(AND(COUNTIF(BT$11:BT$34,$BY44)&gt;=2,COUNTIF(INDIRECT("CF$"&amp;MATCH($BY44,$BY$38:$BY44,0)+37):CF43,"&gt;0")&lt;COUNTIF(BT$11:BT$34,$BY44)),MATCH($BY44,INDIRECT("BT"&amp;CF43+1):$BT$34,0)+CF43,0)))</f>
        <v>0</v>
      </c>
      <c r="CG44" s="248"/>
      <c r="CH44" s="248">
        <f t="shared" si="132"/>
      </c>
      <c r="CI44" s="248"/>
      <c r="CJ44" s="61">
        <f t="shared" si="126"/>
      </c>
      <c r="CK44" s="33"/>
      <c r="CL44" s="33"/>
      <c r="CM44" s="248"/>
      <c r="CN44" s="248"/>
      <c r="CO44" s="248"/>
      <c r="CP44" s="61"/>
      <c r="CQ44" s="33"/>
      <c r="CR44" s="33"/>
      <c r="CS44" s="248"/>
      <c r="CT44" s="248"/>
      <c r="CU44" s="248"/>
      <c r="CV44" s="61"/>
      <c r="CW44" s="33"/>
      <c r="CX44" s="33"/>
      <c r="CY44" s="248"/>
      <c r="CZ44" s="248"/>
      <c r="DA44" s="248"/>
      <c r="DB44" s="61"/>
      <c r="DC44" s="33"/>
      <c r="DD44" s="33"/>
      <c r="DE44" s="248"/>
      <c r="DF44" s="248"/>
      <c r="DG44" s="248"/>
      <c r="DH44" s="61"/>
      <c r="DI44" s="33"/>
      <c r="DJ44" s="33"/>
      <c r="DK44" s="248"/>
      <c r="DL44" s="248"/>
      <c r="DM44" s="248"/>
      <c r="DN44" s="61"/>
      <c r="DO44" s="33"/>
      <c r="DP44" s="33"/>
      <c r="DQ44" s="248"/>
      <c r="DR44" s="248"/>
      <c r="DS44" s="248"/>
      <c r="DT44" s="61"/>
      <c r="DU44" s="33"/>
      <c r="DV44" s="33"/>
      <c r="DW44" s="248"/>
      <c r="DX44" s="248"/>
      <c r="DY44" s="248"/>
      <c r="DZ44" s="61"/>
      <c r="EA44" s="33"/>
      <c r="EB44" s="33"/>
      <c r="EC44" s="248"/>
      <c r="ED44" s="248"/>
      <c r="EE44" s="248"/>
      <c r="EF44" s="61"/>
      <c r="EG44" s="33"/>
      <c r="EH44" s="33"/>
      <c r="EI44" s="248"/>
      <c r="EJ44" s="248"/>
      <c r="EK44" s="248"/>
      <c r="EL44" s="61"/>
      <c r="EM44" s="61"/>
      <c r="EN44" s="33"/>
      <c r="EO44" s="33"/>
      <c r="EP44" s="248"/>
      <c r="EQ44" s="248"/>
      <c r="ER44" s="248"/>
      <c r="ES44" s="61"/>
      <c r="ET44" s="938">
        <f t="shared" si="127"/>
        <v>7</v>
      </c>
      <c r="EU44" s="1039"/>
      <c r="EV44" s="938" t="e">
        <f>IF(ET44="","",($ES$37+SUM($FF$11:FF17))/(ET44+8))</f>
        <v>#NUM!</v>
      </c>
      <c r="EW44" s="33"/>
      <c r="EX44" s="33"/>
      <c r="EY44" s="33"/>
      <c r="EZ44" s="33"/>
      <c r="FQ44" s="86"/>
      <c r="FR44" s="86"/>
      <c r="FS44" s="86"/>
      <c r="FT44" s="86"/>
      <c r="FU44" s="86"/>
      <c r="FV44" s="86"/>
      <c r="FW44" s="91"/>
      <c r="FX44" s="86"/>
      <c r="FY44" s="77"/>
      <c r="FZ44" s="931"/>
      <c r="GA44" s="931"/>
      <c r="GJ44" s="89"/>
    </row>
    <row r="45" spans="4:192" ht="14.25" customHeight="1">
      <c r="D45" s="33" t="s">
        <v>380</v>
      </c>
      <c r="F45" s="247"/>
      <c r="G45" s="247"/>
      <c r="H45" s="247">
        <f>SUM(H43:H44)</f>
        <v>0</v>
      </c>
      <c r="I45" s="247">
        <f>SUM(I43:I44)</f>
        <v>0</v>
      </c>
      <c r="J45" s="247">
        <f>SUM(J43:J44)</f>
        <v>0</v>
      </c>
      <c r="K45" s="247">
        <f>SUM(K43:K44)</f>
        <v>0</v>
      </c>
      <c r="N45" s="279"/>
      <c r="P45" s="290"/>
      <c r="Q45" s="334"/>
      <c r="R45" s="290"/>
      <c r="T45" s="89"/>
      <c r="Z45" s="33"/>
      <c r="AA45" s="33"/>
      <c r="AB45" s="33"/>
      <c r="AC45" s="78"/>
      <c r="AD45" s="78"/>
      <c r="AE45" s="78"/>
      <c r="AF45" s="78"/>
      <c r="AG45" s="78"/>
      <c r="AH45" s="44"/>
      <c r="AJ45" s="78"/>
      <c r="AK45" s="61"/>
      <c r="AL45" s="33"/>
      <c r="AM45" s="325"/>
      <c r="AN45" s="983" t="s">
        <v>71</v>
      </c>
      <c r="AO45" s="980">
        <f aca="true" t="shared" si="137" ref="AO45:AV45">LARGE($AO$25:$BB$27,AO37)</f>
        <v>0</v>
      </c>
      <c r="AP45" s="980">
        <f t="shared" si="137"/>
        <v>0</v>
      </c>
      <c r="AQ45" s="980">
        <f t="shared" si="137"/>
        <v>0</v>
      </c>
      <c r="AR45" s="980">
        <f t="shared" si="137"/>
        <v>0</v>
      </c>
      <c r="AS45" s="980">
        <f t="shared" si="137"/>
        <v>0</v>
      </c>
      <c r="AT45" s="980">
        <f t="shared" si="137"/>
        <v>0</v>
      </c>
      <c r="AU45" s="980">
        <f t="shared" si="137"/>
        <v>0</v>
      </c>
      <c r="AV45" s="980">
        <f t="shared" si="137"/>
        <v>0</v>
      </c>
      <c r="AX45" s="44">
        <v>8</v>
      </c>
      <c r="AY45" s="61">
        <f t="shared" si="128"/>
        <v>0</v>
      </c>
      <c r="AZ45" s="61">
        <f ca="1">IF(AY45=0,"",IF(OR($AY45="",ISERROR(MATCH($AY45,$AO$44:$AV$44,0))=TRUE),0,IF(OR(AND(COUNTIF($AO$44:$AV$44,$AY45)=1,ISNA(MATCH(MATCH($AY45,$AO$44:$AV$44,0)+40,AZ$38:AZ44,0)=TRUE)),AND(COUNTIF($AO$44:$AV$44,$AY45)&gt;=2,$AY45&lt;&gt;$AY44)),MATCH($AY45,$AO$44:$AV$44,0)+40,IF(AND(COUNTIF($AO$44:$AV$44,$AY45)&gt;=2,COUNTIF(INDIRECT("AZ$"&amp;MATCH($AY45,$AY$38:$AY45,0)+37):AZ44,"&gt;0")&lt;COUNTIF($AO$44:$AV$44,$AY45)),AZ44+1,0))))</f>
      </c>
      <c r="BA45" s="61">
        <f ca="1">IF(AY45=0,"",IF(OR($AY45="",AZ45&lt;&gt;0,ISERROR(MATCH($AY45,$AO$45:$AV$45,0))=TRUE),0,IF(OR(AND(COUNTIF($AO$45:$AV$45,$AY45)=1,ISNA(MATCH(MATCH($AY45,$AO$45:$AV$45,0)+40,BA$38:BA44,0)=TRUE)),AND(COUNTIF($AO$45:$AV$45,$AY45)&gt;=2,$AY45&lt;&gt;$AY44)),MATCH($AY45,$AO$45:$AV$45,0)+40,IF(AND(COUNTIF($AO$45:$AV$45,$AY45)&gt;=2,COUNTIF(INDIRECT("BA$"&amp;MATCH($AY45,$AY$38:$AY45,0)+37):BA44,"&gt;0")&lt;COUNTIF($AO$45:$AV$45,$AY45),BA44&lt;&gt;0),MATCH($AY45,INDIRECT(ADDRESS(45,BA44+1,4)),0)+BA44,IF(BA44=0,MATCH($AY45,$AO$45:$AV$45,0)+40,0)))))</f>
      </c>
      <c r="BB45" s="44">
        <f ca="1" t="shared" si="124"/>
      </c>
      <c r="BC45" s="61">
        <f ca="1">IF(AY45=0,"",IF(AZ45=0,IF(INDIRECT(LEFT(BB45,2)&amp;RIGHT(BB45,2)+6)&gt;=MIN($BC$38:BC44),"",INDIRECT(LEFT(BB45,2)&amp;RIGHT(BB45,2)+6)),IF(INDIRECT(LEFT(BB45,2)&amp;RIGHT(BB45,2)+4)&gt;=MIN($BC$38:BC44),"",INDIRECT(LEFT(BB45,2)&amp;RIGHT(BB45,2)+4))))</f>
      </c>
      <c r="BD45" s="61">
        <f t="shared" si="129"/>
      </c>
      <c r="BE45" s="842">
        <f>TRIM(BE42&amp;BE43&amp;BE44)</f>
      </c>
      <c r="BF45" s="842" t="str">
        <f>BF39&amp;BE45</f>
        <v>AO</v>
      </c>
      <c r="BG45" s="842" t="str">
        <f>BG39&amp;BE45</f>
        <v>AR</v>
      </c>
      <c r="BH45" s="61"/>
      <c r="BI45" s="61"/>
      <c r="BJ45" s="61"/>
      <c r="BK45" s="248"/>
      <c r="BL45" s="255"/>
      <c r="BM45" s="61"/>
      <c r="BN45" s="61"/>
      <c r="BO45" s="61"/>
      <c r="BP45" s="61"/>
      <c r="BQ45" s="842" t="e">
        <f>IF(OR(AND(BV44&lt;&gt;"",BQ44&lt;40),BQ44&lt;35),BQ44+1,"")</f>
        <v>#NUM!</v>
      </c>
      <c r="BR45" s="842"/>
      <c r="BS45" s="842"/>
      <c r="BT45" s="842" t="e">
        <f>IF(BQ45="","",($BP$39+SUM($BY$38:BY44))/(BQ45+8))</f>
        <v>#NUM!</v>
      </c>
      <c r="BU45" s="425" t="e">
        <f>IF(OR(BV45&lt;&gt;"",MAX($BU$38:BU44)=3,AND(RIGHT(BX45,2)=RIGHT(BX44,2),VALUE(RIGHT(BX45,2))&gt;30)),0,BU44+1)</f>
        <v>#NUM!</v>
      </c>
      <c r="BV45" s="842" t="e">
        <f>IF(BV44="","",IF(OR(COUNT($BM$10:$BP$30)+$BV44&lt;35,AND(MAX($BV$38:BV44)+$BQ$38&lt;40,AND($BQ45&lt;40,$BY45&gt;$BT45))),BV44+1,""))</f>
        <v>#NUM!</v>
      </c>
      <c r="BW45" s="842" t="s">
        <v>233</v>
      </c>
      <c r="BX45" s="842">
        <f t="shared" si="131"/>
      </c>
      <c r="BY45" s="842">
        <f t="shared" si="125"/>
      </c>
      <c r="BZ45" s="61"/>
      <c r="CA45" s="248">
        <v>8</v>
      </c>
      <c r="CB45" s="248"/>
      <c r="CC45" s="928">
        <f ca="1">IF(OR($BY45="",ISERROR(MATCH($BY45,BW$11:BW$34,0))=TRUE),0,IF(OR(AND(COUNTIF(BW$11:BW$34,$BY45)=1,ISNA(MATCH(MATCH($BY45,$BW$11:$BW$34,0)+10,CC$38:CC44,0)=TRUE)),AND(COUNTIF(BW$11:BW$34,$BY45)&gt;=2,$BY45&lt;&gt;$BY44)),MATCH($BY45,BW$11:BW$34,0)+10,IF(AND(COUNTIF(BW$11:BW$34,$BY45)&gt;=2,COUNTIF(INDIRECT("CC$"&amp;MATCH($BY45,$BY$38:$BY45,0)+37):CC44,"&gt;0")&lt;COUNTIF(BW$11:BW$34,$BY45)),MATCH($BY45,INDIRECT("BW"&amp;CC44+1):$BW$34,0)+CC44,0)))</f>
        <v>0</v>
      </c>
      <c r="CD45" s="255">
        <f ca="1">IF(OR($BY45="",CC45&lt;&gt;0,ISERROR(MATCH($BY45,$BV$11:$BV$34,0))=TRUE),0,IF(OR(AND(COUNTIF($BV$11:$BV$34,$BY45)=1,ISNA(MATCH(MATCH($BY45,$BV$11:$BV$34,0)+10,CD$38:CD44,0)=TRUE)),AND(COUNTIF($BV$11:$BV$34,$BY45)&gt;=2,$BY45&lt;&gt;$BY44)),MATCH($BY45,$BV$11:$BV$34,0)+10,IF(AND(COUNTIF($BV$11:$BV$34,$BY45)&gt;=2,COUNTIF(INDIRECT("CD$"&amp;MATCH($BY45,$BY$38:$BY45,0)+37):CD44,"&gt;0")&lt;COUNTIF($BV$11:$BV$34,$BY45)),MATCH($BY45,INDIRECT("BV"&amp;CD44+1):$BV$34,0)+CD44,0)))</f>
        <v>0</v>
      </c>
      <c r="CE45" s="255">
        <f ca="1">IF(OR($BY45="",CC45&lt;&gt;0,CD45&lt;&gt;0,ISERROR(MATCH($BY45,BU$11:BU$34,0))=TRUE),0,IF(OR(AND(COUNTIF(BU$11:BU$34,$BY45)=1,ISNA(MATCH(MATCH($BY45,$BU$11:$BU$34,0)+10,CE$38:CE44,0)=TRUE)),AND(COUNTIF(BU$11:BU$34,$BY45)&gt;=2,$BY45&lt;&gt;$BY44)),MATCH($BY45,BU$11:BU$34,0)+10,IF(AND(COUNTIF(BU$11:BU$34,$BY45)&gt;=2,COUNTIF(INDIRECT("CE$"&amp;MATCH($BY45,$BY$38:$BY45,0)+37):CE44,"&gt;0")&lt;COUNTIF(BU$11:BU$34,$BY45)),MATCH($BY45,INDIRECT("BU"&amp;CE44+1):$BU$34,0)+CE44,0)))</f>
        <v>0</v>
      </c>
      <c r="CF45" s="929">
        <f ca="1">IF(OR($BY45="",CC45&lt;&gt;0,CD45&lt;&gt;0,CE45&lt;&gt;0,ISERROR(MATCH($BY45,BT$11:BT$34,0))=TRUE),0,IF(OR(AND(COUNTIF(BT$11:BT$34,$BY45)=1,ISNA(MATCH(MATCH($BY45,$BT$11:$BT$34,0)+10,CF$38:CF44,0)=TRUE)),AND(COUNTIF(BT$11:BT$34,$BY45)&gt;=2,$BY45&lt;&gt;$BY44)),MATCH($BY45,BT$11:BT$34,0)+10,IF(AND(COUNTIF(BT$11:BT$34,$BY45)&gt;=2,COUNTIF(INDIRECT("CF$"&amp;MATCH($BY45,$BY$38:$BY45,0)+37):CF44,"&gt;0")&lt;COUNTIF(BT$11:BT$34,$BY45)),MATCH($BY45,INDIRECT("BT"&amp;CF44+1):$BT$34,0)+CF44,0)))</f>
        <v>0</v>
      </c>
      <c r="CG45" s="248"/>
      <c r="CH45" s="248">
        <f t="shared" si="132"/>
      </c>
      <c r="CI45" s="248"/>
      <c r="CJ45" s="61">
        <f t="shared" si="126"/>
      </c>
      <c r="CK45" s="33"/>
      <c r="CL45" s="33"/>
      <c r="CM45" s="248"/>
      <c r="CN45" s="248"/>
      <c r="CO45" s="248"/>
      <c r="CP45" s="61"/>
      <c r="CQ45" s="33"/>
      <c r="CR45" s="33"/>
      <c r="CS45" s="248"/>
      <c r="CT45" s="248"/>
      <c r="CU45" s="248"/>
      <c r="CV45" s="61"/>
      <c r="CW45" s="33"/>
      <c r="CX45" s="33"/>
      <c r="CY45" s="248"/>
      <c r="CZ45" s="248"/>
      <c r="DA45" s="248"/>
      <c r="DB45" s="61"/>
      <c r="DC45" s="33"/>
      <c r="DD45" s="33"/>
      <c r="DE45" s="248"/>
      <c r="DF45" s="248"/>
      <c r="DG45" s="248"/>
      <c r="DH45" s="61"/>
      <c r="DI45" s="33"/>
      <c r="DJ45" s="33"/>
      <c r="DK45" s="248"/>
      <c r="DL45" s="248"/>
      <c r="DM45" s="248"/>
      <c r="DN45" s="61"/>
      <c r="DO45" s="33"/>
      <c r="DP45" s="33"/>
      <c r="DQ45" s="248"/>
      <c r="DR45" s="248"/>
      <c r="DS45" s="248"/>
      <c r="DT45" s="61"/>
      <c r="DU45" s="33"/>
      <c r="DV45" s="33"/>
      <c r="DW45" s="248"/>
      <c r="DX45" s="248"/>
      <c r="DY45" s="248"/>
      <c r="DZ45" s="61"/>
      <c r="EA45" s="33"/>
      <c r="EB45" s="33"/>
      <c r="EC45" s="248"/>
      <c r="ED45" s="248"/>
      <c r="EE45" s="248"/>
      <c r="EF45" s="61"/>
      <c r="EG45" s="33"/>
      <c r="EH45" s="33"/>
      <c r="EI45" s="248"/>
      <c r="EJ45" s="248"/>
      <c r="EK45" s="248"/>
      <c r="EL45" s="61"/>
      <c r="EM45" s="61"/>
      <c r="EN45" s="33"/>
      <c r="EO45" s="33"/>
      <c r="EP45" s="248"/>
      <c r="EQ45" s="248"/>
      <c r="ER45" s="248"/>
      <c r="ES45" s="61"/>
      <c r="ET45" s="938" t="e">
        <f>IF(OR(AND(FD18&lt;&gt;"",ET44&lt;40),ET44&lt;35),ET44+1,"")</f>
        <v>#NUM!</v>
      </c>
      <c r="EU45" s="1039"/>
      <c r="EV45" s="938" t="e">
        <f>IF(ET45="","",($ES$37+SUM($FF$11:FF18))/(ET45+8))</f>
        <v>#NUM!</v>
      </c>
      <c r="EW45" s="33"/>
      <c r="EX45" s="33"/>
      <c r="EY45" s="33"/>
      <c r="EZ45" s="33"/>
      <c r="GJ45" s="89"/>
    </row>
    <row r="46" spans="6:192" ht="15.75" customHeight="1">
      <c r="F46" s="247"/>
      <c r="G46" s="247"/>
      <c r="H46" s="247" t="str">
        <f>IF(H45&gt;=1,"W","F")</f>
        <v>F</v>
      </c>
      <c r="I46" s="247" t="str">
        <f>IF(I45&gt;H45,"F","W")</f>
        <v>W</v>
      </c>
      <c r="J46" s="247" t="str">
        <f>IF(J45&gt;I45,"F","W")</f>
        <v>W</v>
      </c>
      <c r="K46" s="247" t="str">
        <f>IF(K45&gt;J45,"F","W")</f>
        <v>W</v>
      </c>
      <c r="N46" s="279"/>
      <c r="P46" s="290"/>
      <c r="Q46" s="334"/>
      <c r="R46" s="290"/>
      <c r="T46" s="89"/>
      <c r="X46" s="248"/>
      <c r="Z46" s="33"/>
      <c r="AA46" s="33"/>
      <c r="AB46" s="33"/>
      <c r="AC46" s="78"/>
      <c r="AD46" s="78"/>
      <c r="AE46" s="78"/>
      <c r="AF46" s="78"/>
      <c r="AG46" s="78"/>
      <c r="AI46" s="86"/>
      <c r="AJ46" s="862"/>
      <c r="AK46" s="61"/>
      <c r="AL46" s="33"/>
      <c r="AM46" s="1024" t="s">
        <v>452</v>
      </c>
      <c r="AN46" s="950">
        <v>25</v>
      </c>
      <c r="AO46" s="584">
        <f>IF(OR(AO45="",AO45=0,ISERROR(MATCH(AO45,$AO25:$BA25,0)=TRUE)),0,MATCH(AO45,$AO25:$BA25,0)+40)</f>
        <v>0</v>
      </c>
      <c r="AP46" s="255">
        <f ca="1">IF(OR(AP$45="",AP45=0,ISERROR(MATCH(AP$45,$AO25:$BB25,0))=TRUE),0,IF(OR(AND(COUNTIF($AO25:$BB25,AP$45)=1,ISNA(MATCH(MATCH(AP$45,$AO25:$BB25,0)+40,$AO46:AO46,0)=TRUE)),AND(COUNTIF($AO25:$BB25,AP$45)&gt;=2,AP$45&lt;&gt;AO$45)),MATCH(AP$45,$AO25:$BB25,0)+40,IF(AND(COUNTIF($AO25:$BB25,AP$45)&gt;=2,COUNTIF(INDIRECT(ADDRESS(46,MATCH(AP$45,$AO$45:AP$45,0)+40,4)&amp;":"&amp;ADDRESS(ROW($AO46),COLUMN(AO46),4)),"&gt;0")&lt;=COUNTIF($AO25:$BB25,AP$45),ISNA(MATCH(AP$45,INDIRECT(ADDRESS(25,AO46+1,4)):$BB25,0)+AO46)=FALSE),MATCH(AP$45,INDIRECT(ADDRESS(25,AO46+1,4)):$BB25,0)+AO46,0)))</f>
        <v>0</v>
      </c>
      <c r="AQ46" s="255">
        <f ca="1">IF(OR(AQ$45="",AQ45=0,ISERROR(MATCH(AQ$45,$AO25:$BB25,0))=TRUE),0,IF(OR(AND(COUNTIF($AO25:$BB25,AQ$45)=1,ISNA(MATCH(MATCH(AQ$45,$AO25:$BB25,0)+40,$AO46:AP46,0)=TRUE)),AND(COUNTIF($AO25:$BB25,AQ$45)&gt;=2,AQ$45&lt;&gt;AP$45)),MATCH(AQ$45,$AO25:$BB25,0)+40,IF(AND(COUNTIF($AO25:$BB25,AQ$45)&gt;=2,COUNTIF(INDIRECT(ADDRESS(46,MATCH(AQ$45,$AO$45:AQ$45,0)+40,4)&amp;":"&amp;ADDRESS(ROW($AO46),COLUMN(AP46),4)),"&gt;0")&lt;=COUNTIF($AO25:$BB25,AQ$45),ISNA(MATCH(AQ$45,INDIRECT(ADDRESS(25,AP46+1,4)):$BB25,0)+AP46)=FALSE),MATCH(AQ$45,INDIRECT(ADDRESS(25,AP46+1,4)):$BB25,0)+AP46,0)))</f>
        <v>0</v>
      </c>
      <c r="AR46" s="255">
        <f ca="1">IF(OR(AR$45="",AR45=0,ISERROR(MATCH(AR$45,$AO25:$BB25,0))=TRUE),0,IF(OR(AND(COUNTIF($AO25:$BB25,AR$45)=1,ISNA(MATCH(MATCH(AR$45,$AO25:$BB25,0)+40,$AO46:AQ46,0)=TRUE)),AND(COUNTIF($AO25:$BB25,AR$45)&gt;=2,AR$45&lt;&gt;AQ$45)),MATCH(AR$45,$AO25:$BB25,0)+40,IF(AND(COUNTIF($AO25:$BB25,AR$45)&gt;=2,COUNTIF(INDIRECT(ADDRESS(46,MATCH(AR$45,$AO$45:AR$45,0)+40,4)&amp;":"&amp;ADDRESS(ROW($AO46),COLUMN(AQ46),4)),"&gt;0")&lt;=COUNTIF($AO25:$BB25,AR$45),ISNA(MATCH(AR$45,INDIRECT(ADDRESS(25,AQ46+1,4)):$BB25,0)+AQ46)=FALSE),MATCH(AR$45,INDIRECT(ADDRESS(25,AQ46+1,4)):$BB25,0)+AQ46,0)))</f>
        <v>0</v>
      </c>
      <c r="AS46" s="255">
        <f ca="1">IF(OR(AS$45="",AS45=0,ISERROR(MATCH(AS$45,$AO25:$BB25,0))=TRUE),0,IF(OR(AND(COUNTIF($AO25:$BB25,AS$45)=1,ISNA(MATCH(MATCH(AS$45,$AO25:$BB25,0)+40,$AO46:AR46,0)=TRUE)),AND(COUNTIF($AO25:$BB25,AS$45)&gt;=2,AS$45&lt;&gt;AR$45)),MATCH(AS$45,$AO25:$BB25,0)+40,IF(AND(COUNTIF($AO25:$BB25,AS$45)&gt;=2,COUNTIF(INDIRECT(ADDRESS(46,MATCH(AS$45,$AO$45:AS$45,0)+40,4)&amp;":"&amp;ADDRESS(ROW($AO46),COLUMN(AR46),4)),"&gt;0")&lt;=COUNTIF($AO25:$BB25,AS$45),ISNA(MATCH(AS$45,INDIRECT(ADDRESS(25,AR46+1,4)):$BB25,0)+AR46)=FALSE),MATCH(AS$45,INDIRECT(ADDRESS(25,AR46+1,4)):$BB25,0)+AR46,0)))</f>
        <v>0</v>
      </c>
      <c r="AT46" s="255">
        <f ca="1">IF(OR(AT$45="",AT45=0,ISERROR(MATCH(AT$45,$AO25:$BB25,0))=TRUE),0,IF(OR(AND(COUNTIF($AO25:$BB25,AT$45)=1,ISNA(MATCH(MATCH(AT$45,$AO25:$BB25,0)+40,$AO46:AS46,0)=TRUE)),AND(COUNTIF($AO25:$BB25,AT$45)&gt;=2,AT$45&lt;&gt;AS$45)),MATCH(AT$45,$AO25:$BB25,0)+40,IF(AND(COUNTIF($AO25:$BB25,AT$45)&gt;=2,COUNTIF(INDIRECT(ADDRESS(46,MATCH(AT$45,$AO$45:AT$45,0)+40,4)&amp;":"&amp;ADDRESS(ROW($AO46),COLUMN(AS46),4)),"&gt;0")&lt;=COUNTIF($AO25:$BB25,AT$45),ISNA(MATCH(AT$45,INDIRECT(ADDRESS(25,AS46+1,4)):$BB25,0)+AS46)=FALSE),MATCH(AT$45,INDIRECT(ADDRESS(25,AS46+1,4)):$BB25,0)+AS46,0)))</f>
        <v>0</v>
      </c>
      <c r="AU46" s="255">
        <f ca="1">IF(OR(AU$45="",AU45=0,ISERROR(MATCH(AU$45,$AO25:$BB25,0))=TRUE),0,IF(OR(AND(COUNTIF($AO25:$BB25,AU$45)=1,ISNA(MATCH(MATCH(AU$45,$AO25:$BB25,0)+40,$AO46:AT46,0)=TRUE)),AND(COUNTIF($AO25:$BB25,AU$45)&gt;=2,AU$45&lt;&gt;AT$45)),MATCH(AU$45,$AO25:$BB25,0)+40,IF(AND(COUNTIF($AO25:$BB25,AU$45)&gt;=2,COUNTIF(INDIRECT(ADDRESS(46,MATCH(AU$45,$AO$45:AU$45,0)+40,4)&amp;":"&amp;ADDRESS(ROW($AO46),COLUMN(AT46),4)),"&gt;0")&lt;=COUNTIF($AO25:$BB25,AU$45),ISNA(MATCH(AU$45,INDIRECT(ADDRESS(25,AT46+1,4)):$BB25,0)+AT46)=FALSE),MATCH(AU$45,INDIRECT(ADDRESS(25,AT46+1,4)):$BB25,0)+AT46,0)))</f>
        <v>0</v>
      </c>
      <c r="AV46" s="255">
        <f ca="1">IF(OR(AV$45="",AV45=0,ISERROR(MATCH(AV$45,$AO25:$BB25,0))=TRUE),0,IF(OR(AND(COUNTIF($AO25:$BB25,AV$45)=1,ISNA(MATCH(MATCH(AV$45,$AO25:$BB25,0)+40,$AO46:AU46,0)=TRUE)),AND(COUNTIF($AO25:$BB25,AV$45)&gt;=2,AV$45&lt;&gt;AU$45)),MATCH(AV$45,$AO25:$BB25,0)+40,IF(AND(COUNTIF($AO25:$BB25,AV$45)&gt;=2,COUNTIF(INDIRECT(ADDRESS(46,MATCH(AV$45,$AO$45:AV$45,0)+40,4)&amp;":"&amp;ADDRESS(ROW($AO46),COLUMN(AU46),4)),"&gt;0")&lt;=COUNTIF($AO25:$BB25,AV$45),ISNA(MATCH(AV$45,INDIRECT(ADDRESS(25,AU46+1,4)):$BB25,0)+AU46)=FALSE),MATCH(AV$45,INDIRECT(ADDRESS(25,AU46+1,4)):$BB25,0)+AU46,0)))</f>
        <v>0</v>
      </c>
      <c r="AX46" s="44">
        <v>9</v>
      </c>
      <c r="AY46" s="61">
        <f t="shared" si="128"/>
        <v>0</v>
      </c>
      <c r="AZ46" s="61">
        <f ca="1">IF(AY46=0,"",IF(OR($AY46="",ISERROR(MATCH($AY46,$AO$44:$AV$44,0))=TRUE),0,IF(OR(AND(COUNTIF($AO$44:$AV$44,$AY46)=1,ISNA(MATCH(MATCH($AY46,$AO$44:$AV$44,0)+40,AZ$38:AZ45,0)=TRUE)),AND(COUNTIF($AO$44:$AV$44,$AY46)&gt;=2,$AY46&lt;&gt;$AY45)),MATCH($AY46,$AO$44:$AV$44,0)+40,IF(AND(COUNTIF($AO$44:$AV$44,$AY46)&gt;=2,COUNTIF(INDIRECT("AZ$"&amp;MATCH($AY46,$AY$38:$AY46,0)+37):AZ45,"&gt;0")&lt;COUNTIF($AO$44:$AV$44,$AY46)),AZ45+1,0))))</f>
      </c>
      <c r="BA46" s="61">
        <f ca="1">IF(AY46=0,"",IF(OR($AY46="",AZ46&lt;&gt;0,ISERROR(MATCH($AY46,$AO$45:$AV$45,0))=TRUE),0,IF(OR(AND(COUNTIF($AO$45:$AV$45,$AY46)=1,ISNA(MATCH(MATCH($AY46,$AO$45:$AV$45,0)+40,BA$38:BA45,0)=TRUE)),AND(COUNTIF($AO$45:$AV$45,$AY46)&gt;=2,$AY46&lt;&gt;$AY45)),MATCH($AY46,$AO$45:$AV$45,0)+40,IF(AND(COUNTIF($AO$45:$AV$45,$AY46)&gt;=2,COUNTIF(INDIRECT("BA$"&amp;MATCH($AY46,$AY$38:$AY46,0)+37):BA45,"&gt;0")&lt;COUNTIF($AO$45:$AV$45,$AY46),BA45&lt;&gt;0),MATCH($AY46,INDIRECT(ADDRESS(45,BA45+1,4)),0)+BA45,IF(BA45=0,MATCH($AY46,$AO$45:$AV$45,0)+40,0)))))</f>
      </c>
      <c r="BB46" s="44">
        <f ca="1" t="shared" si="124"/>
      </c>
      <c r="BC46" s="61">
        <f ca="1">IF(AY46=0,"",IF(AZ46=0,IF(INDIRECT(LEFT(BB46,2)&amp;RIGHT(BB46,2)+6)&gt;=MIN($BC$38:BC45),"",INDIRECT(LEFT(BB46,2)&amp;RIGHT(BB46,2)+6)),IF(INDIRECT(LEFT(BB46,2)&amp;RIGHT(BB46,2)+4)&gt;=MIN($BC$38:BC45),"",INDIRECT(LEFT(BB46,2)&amp;RIGHT(BB46,2)+4))))</f>
      </c>
      <c r="BD46" s="61">
        <f t="shared" si="129"/>
      </c>
      <c r="BE46" s="61"/>
      <c r="BF46" s="61"/>
      <c r="BG46" s="61"/>
      <c r="BH46" s="61"/>
      <c r="BI46" s="61"/>
      <c r="BJ46" s="61"/>
      <c r="BK46" s="248"/>
      <c r="BL46" s="255"/>
      <c r="BM46" s="61"/>
      <c r="BN46" s="61"/>
      <c r="BO46" s="61"/>
      <c r="BP46" s="61"/>
      <c r="BQ46" s="842" t="e">
        <f>IF(OR(AND(BV45&lt;&gt;"",BQ45&lt;40),BQ45&lt;35),BQ45+1,"")</f>
        <v>#NUM!</v>
      </c>
      <c r="BR46" s="842"/>
      <c r="BS46" s="842"/>
      <c r="BT46" s="842" t="e">
        <f>IF(BQ46="","",($BP$39+SUM($BY$38:BY45))/(BQ46+8))</f>
        <v>#NUM!</v>
      </c>
      <c r="BU46" s="425" t="e">
        <f>IF(OR(BV46&lt;&gt;"",MAX($BU$38:BU45)=3,AND(RIGHT(BX46,2)=RIGHT(BX45,2),VALUE(RIGHT(BX46,2))&gt;30)),0,BU45+1)</f>
        <v>#NUM!</v>
      </c>
      <c r="BV46" s="842" t="e">
        <f>IF(BV45="","",IF(OR(COUNT($BM$10:$BP$30)+$BV45&lt;35,AND(MAX($BV$38:BV45)+$BQ$38&lt;40,AND($BQ46&lt;40,$BY46&gt;$BT46))),BV45+1,""))</f>
        <v>#NUM!</v>
      </c>
      <c r="BW46" s="842" t="s">
        <v>234</v>
      </c>
      <c r="BX46" s="842">
        <f t="shared" si="131"/>
      </c>
      <c r="BY46" s="842">
        <f t="shared" si="125"/>
      </c>
      <c r="BZ46" s="61"/>
      <c r="CA46" s="248">
        <v>9</v>
      </c>
      <c r="CB46" s="248"/>
      <c r="CC46" s="928">
        <f ca="1">IF(OR($BY46="",ISERROR(MATCH($BY46,BW$11:BW$34,0))=TRUE),0,IF(OR(AND(COUNTIF(BW$11:BW$34,$BY46)=1,ISNA(MATCH(MATCH($BY46,$BW$11:$BW$34,0)+10,CC$38:CC45,0)=TRUE)),AND(COUNTIF(BW$11:BW$34,$BY46)&gt;=2,$BY46&lt;&gt;$BY45)),MATCH($BY46,BW$11:BW$34,0)+10,IF(AND(COUNTIF(BW$11:BW$34,$BY46)&gt;=2,COUNTIF(INDIRECT("CC$"&amp;MATCH($BY46,$BY$38:$BY46,0)+37):CC45,"&gt;0")&lt;COUNTIF(BW$11:BW$34,$BY46)),MATCH($BY46,INDIRECT("BW"&amp;CC45+1):$BW$34,0)+CC45,0)))</f>
        <v>0</v>
      </c>
      <c r="CD46" s="255">
        <f ca="1">IF(OR($BY46="",CC46&lt;&gt;0,ISERROR(MATCH($BY46,$BV$11:$BV$34,0))=TRUE),0,IF(OR(AND(COUNTIF($BV$11:$BV$34,$BY46)=1,ISNA(MATCH(MATCH($BY46,$BV$11:$BV$34,0)+10,CD$38:CD45,0)=TRUE)),AND(COUNTIF($BV$11:$BV$34,$BY46)&gt;=2,$BY46&lt;&gt;$BY45)),MATCH($BY46,$BV$11:$BV$34,0)+10,IF(AND(COUNTIF($BV$11:$BV$34,$BY46)&gt;=2,COUNTIF(INDIRECT("CD$"&amp;MATCH($BY46,$BY$38:$BY46,0)+37):CD45,"&gt;0")&lt;COUNTIF($BV$11:$BV$34,$BY46)),MATCH($BY46,INDIRECT("BV"&amp;CD45+1):$BV$34,0)+CD45,0)))</f>
        <v>0</v>
      </c>
      <c r="CE46" s="255">
        <f ca="1">IF(OR($BY46="",CC46&lt;&gt;0,CD46&lt;&gt;0,ISERROR(MATCH($BY46,BU$11:BU$34,0))=TRUE),0,IF(OR(AND(COUNTIF(BU$11:BU$34,$BY46)=1,ISNA(MATCH(MATCH($BY46,$BU$11:$BU$34,0)+10,CE$38:CE45,0)=TRUE)),AND(COUNTIF(BU$11:BU$34,$BY46)&gt;=2,$BY46&lt;&gt;$BY45)),MATCH($BY46,BU$11:BU$34,0)+10,IF(AND(COUNTIF(BU$11:BU$34,$BY46)&gt;=2,COUNTIF(INDIRECT("CE$"&amp;MATCH($BY46,$BY$38:$BY46,0)+37):CE45,"&gt;0")&lt;COUNTIF(BU$11:BU$34,$BY46)),MATCH($BY46,INDIRECT("BU"&amp;CE45+1):$BU$34,0)+CE45,0)))</f>
        <v>0</v>
      </c>
      <c r="CF46" s="929">
        <f ca="1">IF(OR($BY46="",CC46&lt;&gt;0,CD46&lt;&gt;0,CE46&lt;&gt;0,ISERROR(MATCH($BY46,BT$11:BT$34,0))=TRUE),0,IF(OR(AND(COUNTIF(BT$11:BT$34,$BY46)=1,ISNA(MATCH(MATCH($BY46,$BT$11:$BT$34,0)+10,CF$38:CF45,0)=TRUE)),AND(COUNTIF(BT$11:BT$34,$BY46)&gt;=2,$BY46&lt;&gt;$BY45)),MATCH($BY46,BT$11:BT$34,0)+10,IF(AND(COUNTIF(BT$11:BT$34,$BY46)&gt;=2,COUNTIF(INDIRECT("CF$"&amp;MATCH($BY46,$BY$38:$BY46,0)+37):CF45,"&gt;0")&lt;COUNTIF(BT$11:BT$34,$BY46)),MATCH($BY46,INDIRECT("BT"&amp;CF45+1):$BT$34,0)+CF45,0)))</f>
        <v>0</v>
      </c>
      <c r="CG46" s="248"/>
      <c r="CH46" s="248">
        <f t="shared" si="132"/>
      </c>
      <c r="CI46" s="248"/>
      <c r="CJ46" s="61">
        <f t="shared" si="126"/>
      </c>
      <c r="CK46" s="33"/>
      <c r="CL46" s="33"/>
      <c r="CM46" s="248"/>
      <c r="CN46" s="248"/>
      <c r="CO46" s="248"/>
      <c r="CP46" s="61"/>
      <c r="CQ46" s="33"/>
      <c r="CR46" s="33"/>
      <c r="CS46" s="248"/>
      <c r="CT46" s="248"/>
      <c r="CU46" s="248"/>
      <c r="CV46" s="61"/>
      <c r="CW46" s="33"/>
      <c r="CX46" s="33"/>
      <c r="CY46" s="248"/>
      <c r="CZ46" s="248"/>
      <c r="DA46" s="248"/>
      <c r="DB46" s="61"/>
      <c r="DC46" s="33"/>
      <c r="DD46" s="33"/>
      <c r="DE46" s="248"/>
      <c r="DF46" s="248"/>
      <c r="DG46" s="248"/>
      <c r="DH46" s="61"/>
      <c r="DI46" s="33"/>
      <c r="DJ46" s="33"/>
      <c r="DK46" s="248"/>
      <c r="DL46" s="248"/>
      <c r="DM46" s="248"/>
      <c r="DN46" s="61"/>
      <c r="DO46" s="33"/>
      <c r="DP46" s="33"/>
      <c r="DQ46" s="248"/>
      <c r="DR46" s="248"/>
      <c r="DS46" s="248"/>
      <c r="DT46" s="61"/>
      <c r="DU46" s="33"/>
      <c r="DV46" s="33"/>
      <c r="DW46" s="248"/>
      <c r="DX46" s="248"/>
      <c r="DY46" s="248"/>
      <c r="DZ46" s="61"/>
      <c r="EA46" s="33"/>
      <c r="EB46" s="33"/>
      <c r="EC46" s="248"/>
      <c r="ED46" s="248"/>
      <c r="EE46" s="248"/>
      <c r="EF46" s="61"/>
      <c r="EG46" s="33"/>
      <c r="EH46" s="33"/>
      <c r="EI46" s="248"/>
      <c r="EJ46" s="248"/>
      <c r="EK46" s="248"/>
      <c r="EL46" s="61"/>
      <c r="EM46" s="61"/>
      <c r="EN46" s="33"/>
      <c r="EO46" s="33"/>
      <c r="EP46" s="248"/>
      <c r="EQ46" s="248"/>
      <c r="ER46" s="248"/>
      <c r="ES46" s="61"/>
      <c r="ET46" s="938" t="e">
        <f>IF(OR(AND(FD19&lt;&gt;"",ET45&lt;40),ET45&lt;35),ET45+1,"")</f>
        <v>#NUM!</v>
      </c>
      <c r="EU46" s="1039"/>
      <c r="EV46" s="938" t="e">
        <f>IF(ET46="","",($ES$37+SUM($FF$11:FF19))/(ET46+8))</f>
        <v>#NUM!</v>
      </c>
      <c r="EW46" s="33"/>
      <c r="EX46" s="33"/>
      <c r="EY46" s="33"/>
      <c r="EZ46" s="33"/>
      <c r="GJ46" s="89"/>
    </row>
    <row r="47" spans="14:156" ht="18" customHeight="1">
      <c r="N47" s="279"/>
      <c r="P47" s="290"/>
      <c r="Q47" s="334"/>
      <c r="R47" s="290"/>
      <c r="X47" s="248"/>
      <c r="Z47" s="33"/>
      <c r="AA47" s="33"/>
      <c r="AB47" s="33"/>
      <c r="AC47" s="78"/>
      <c r="AD47" s="78"/>
      <c r="AE47" s="78"/>
      <c r="AF47" s="78"/>
      <c r="AG47" s="78"/>
      <c r="AH47" s="44"/>
      <c r="AJ47" s="255"/>
      <c r="AK47" s="61"/>
      <c r="AL47" s="33"/>
      <c r="AM47" s="325"/>
      <c r="AN47" s="984">
        <v>26</v>
      </c>
      <c r="AO47" s="584">
        <f>IF(OR(AO45="",AO45=0,AO46&lt;&gt;0,ISERROR(MATCH(AO45,$AO26:$BA26,0)=TRUE)),0,MATCH(AO45,$AO26:$BA26,0)+40)</f>
        <v>0</v>
      </c>
      <c r="AP47" s="255">
        <f ca="1">IF(OR(AP$45="",AP45=0,AP46&lt;&gt;0,ISERROR(MATCH(AP$45,$AO26:$BB26,0))=TRUE),0,IF(OR(AND(COUNTIF($AO26:$BB26,AP$45)=1,ISNA(MATCH(MATCH(AP$45,$AO26:$BB26,0)+40,$AO47:AO47,0)=TRUE)),AND(COUNTIF($AO26:$BB26,AP$45)&gt;=2,AP$45&lt;&gt;AO$45)),MATCH(AP$45,$AO26:$BB26,0)+40,IF(AND(COUNTIF($AO26:$BB26,AP$45)&gt;=2,COUNTIF(INDIRECT(ADDRESS(47,MATCH(AP$45,$AO$45:AP$45,0)+40,4)&amp;":"&amp;ADDRESS(ROW($AO47),COLUMN(AO47),4)),"&gt;0")&lt;=COUNTIF($AO26:$BB26,AP$45)),MATCH(AP$45,INDIRECT(ADDRESS(26,AO47+1,4)):$BB26,0)+AO47,0)))</f>
        <v>0</v>
      </c>
      <c r="AQ47" s="255">
        <f ca="1">IF(OR(AQ$45="",AQ45=0,AQ46&lt;&gt;0,ISERROR(MATCH(AQ$45,$AO26:$BB26,0))=TRUE),0,IF(OR(AND(COUNTIF($AO26:$BB26,AQ$45)=1,ISNA(MATCH(MATCH(AQ$45,$AO26:$BB26,0)+40,$AO47:AP47,0)=TRUE)),AND(COUNTIF($AO26:$BB26,AQ$45)&gt;=2,AQ$45&lt;&gt;AP$45)),MATCH(AQ$45,$AO26:$BB26,0)+40,IF(AND(COUNTIF($AO26:$BB26,AQ$45)&gt;=2,COUNTIF(INDIRECT(ADDRESS(47,MATCH(AQ$45,$AO$45:AQ$45,0)+40,4)&amp;":"&amp;ADDRESS(ROW($AO47),COLUMN(AP47),4)),"&gt;0")&lt;=COUNTIF($AO26:$BB26,AQ$45)),MATCH(AQ$45,INDIRECT(ADDRESS(26,AP47+1,4)):$BB26,0)+AP47,0)))</f>
        <v>0</v>
      </c>
      <c r="AR47" s="255">
        <f ca="1">IF(OR(AR$45="",AR45=0,AR46&lt;&gt;0,ISERROR(MATCH(AR$45,$AO26:$BB26,0))=TRUE),0,IF(OR(AND(COUNTIF($AO26:$BB26,AR$45)=1,ISNA(MATCH(MATCH(AR$45,$AO26:$BB26,0)+40,$AO47:AQ47,0)=TRUE)),AND(COUNTIF($AO26:$BB26,AR$45)&gt;=2,AR$45&lt;&gt;AQ$45)),MATCH(AR$45,$AO26:$BB26,0)+40,IF(AND(COUNTIF($AO26:$BB26,AR$45)&gt;=2,COUNTIF(INDIRECT(ADDRESS(47,MATCH(AR$45,$AO$45:AR$45,0)+40,4)&amp;":"&amp;ADDRESS(ROW($AO47),COLUMN(AQ47),4)),"&gt;0")&lt;=COUNTIF($AO26:$BB26,AR$45)),MATCH(AR$45,INDIRECT(ADDRESS(26,AQ47+1,4)):$BB26,0)+AQ47,0)))</f>
        <v>0</v>
      </c>
      <c r="AS47" s="255">
        <f ca="1">IF(OR(AS$45="",AS45=0,AS46&lt;&gt;0,ISERROR(MATCH(AS$45,$AO26:$BB26,0))=TRUE),0,IF(OR(AND(COUNTIF($AO26:$BB26,AS$45)=1,ISNA(MATCH(MATCH(AS$45,$AO26:$BB26,0)+40,$AO47:AR47,0)=TRUE)),AND(COUNTIF($AO26:$BB26,AS$45)&gt;=2,AS$45&lt;&gt;AR$45)),MATCH(AS$45,$AO26:$BB26,0)+40,IF(AND(COUNTIF($AO26:$BB26,AS$45)&gt;=2,COUNTIF(INDIRECT(ADDRESS(47,MATCH(AS$45,$AO$45:AS$45,0)+40,4)&amp;":"&amp;ADDRESS(ROW($AO47),COLUMN(AR47),4)),"&gt;0")&lt;=COUNTIF($AO26:$BB26,AS$45)),MATCH(AS$45,INDIRECT(ADDRESS(26,AR47+1,4)):$BB26,0)+AR47,0)))</f>
        <v>0</v>
      </c>
      <c r="AT47" s="255">
        <f ca="1">IF(OR(AT$45="",AT45=0,AT46&lt;&gt;0,ISERROR(MATCH(AT$45,$AO26:$BB26,0))=TRUE),0,IF(OR(AND(COUNTIF($AO26:$BB26,AT$45)=1,ISNA(MATCH(MATCH(AT$45,$AO26:$BB26,0)+40,$AO47:AS47,0)=TRUE)),AND(COUNTIF($AO26:$BB26,AT$45)&gt;=2,AT$45&lt;&gt;AS$45)),MATCH(AT$45,$AO26:$BB26,0)+40,IF(AND(COUNTIF($AO26:$BB26,AT$45)&gt;=2,COUNTIF(INDIRECT(ADDRESS(47,MATCH(AT$45,$AO$45:AT$45,0)+40,4)&amp;":"&amp;ADDRESS(ROW($AO47),COLUMN(AS47),4)),"&gt;0")&lt;=COUNTIF($AO26:$BB26,AT$45)),MATCH(AT$45,INDIRECT(ADDRESS(26,AS47+1,4)):$BB26,0)+AS47,0)))</f>
        <v>0</v>
      </c>
      <c r="AU47" s="255">
        <f ca="1">IF(OR(AU$45="",AU45=0,AU46&lt;&gt;0,ISERROR(MATCH(AU$45,$AO26:$BB26,0))=TRUE),0,IF(OR(AND(COUNTIF($AO26:$BB26,AU$45)=1,ISNA(MATCH(MATCH(AU$45,$AO26:$BB26,0)+40,$AO47:AT47,0)=TRUE)),AND(COUNTIF($AO26:$BB26,AU$45)&gt;=2,AU$45&lt;&gt;AT$45)),MATCH(AU$45,$AO26:$BB26,0)+40,IF(AND(COUNTIF($AO26:$BB26,AU$45)&gt;=2,COUNTIF(INDIRECT(ADDRESS(47,MATCH(AU$45,$AO$45:AU$45,0)+40,4)&amp;":"&amp;ADDRESS(ROW($AO47),COLUMN(AT47),4)),"&gt;0")&lt;=COUNTIF($AO26:$BB26,AU$45)),MATCH(AU$45,INDIRECT(ADDRESS(26,AT47+1,4)):$BB26,0)+AT47,0)))</f>
        <v>0</v>
      </c>
      <c r="AV47" s="255">
        <f ca="1">IF(OR(AV$45="",AV45=0,AV46&lt;&gt;0,ISERROR(MATCH(AV$45,$AO26:$BB26,0))=TRUE),0,IF(OR(AND(COUNTIF($AO26:$BB26,AV$45)=1,ISNA(MATCH(MATCH(AV$45,$AO26:$BB26,0)+40,$AO47:AU47,0)=TRUE)),AND(COUNTIF($AO26:$BB26,AV$45)&gt;=2,AV$45&lt;&gt;AU$45)),MATCH(AV$45,$AO26:$BB26,0)+40,IF(AND(COUNTIF($AO26:$BB26,AV$45)&gt;=2,COUNTIF(INDIRECT(ADDRESS(47,MATCH(AV$45,$AO$45:AV$45,0)+40,4)&amp;":"&amp;ADDRESS(ROW($AO47),COLUMN(AU47),4)),"&gt;0")&lt;=COUNTIF($AO26:$BB26,AV$45)),MATCH(AV$45,INDIRECT(ADDRESS(26,AU47+1,4)):$BB26,0)+AU47,0)))</f>
        <v>0</v>
      </c>
      <c r="AW47" s="248"/>
      <c r="AX47" s="44">
        <v>10</v>
      </c>
      <c r="AY47" s="61">
        <f t="shared" si="128"/>
        <v>0</v>
      </c>
      <c r="AZ47" s="61">
        <f ca="1">IF(AY47=0,"",IF(OR($AY47="",ISERROR(MATCH($AY47,$AO$44:$AV$44,0))=TRUE),0,IF(OR(AND(COUNTIF($AO$44:$AV$44,$AY47)=1,ISNA(MATCH(MATCH($AY47,$AO$44:$AV$44,0)+40,AZ$38:AZ46,0)=TRUE)),AND(COUNTIF($AO$44:$AV$44,$AY47)&gt;=2,$AY47&lt;&gt;$AY46)),MATCH($AY47,$AO$44:$AV$44,0)+40,IF(AND(COUNTIF($AO$44:$AV$44,$AY47)&gt;=2,COUNTIF(INDIRECT("AZ$"&amp;MATCH($AY47,$AY$38:$AY47,0)+37):AZ46,"&gt;0")&lt;COUNTIF($AO$44:$AV$44,$AY47)),AZ46+1,0))))</f>
      </c>
      <c r="BA47" s="61">
        <f ca="1">IF(AY47=0,"",IF(OR($AY47="",AZ47&lt;&gt;0,ISERROR(MATCH($AY47,$AO$45:$AV$45,0))=TRUE),0,IF(OR(AND(COUNTIF($AO$45:$AV$45,$AY47)=1,ISNA(MATCH(MATCH($AY47,$AO$45:$AV$45,0)+40,BA$38:BA46,0)=TRUE)),AND(COUNTIF($AO$45:$AV$45,$AY47)&gt;=2,$AY47&lt;&gt;$AY46)),MATCH($AY47,$AO$45:$AV$45,0)+40,IF(AND(COUNTIF($AO$45:$AV$45,$AY47)&gt;=2,COUNTIF(INDIRECT("BA$"&amp;MATCH($AY47,$AY$38:$AY47,0)+37):BA46,"&gt;0")&lt;COUNTIF($AO$45:$AV$45,$AY47),BA46&lt;&gt;0),MATCH($AY47,INDIRECT(ADDRESS(45,BA46+1,4)),0)+BA46,IF(BA46=0,MATCH($AY47,$AO$45:$AV$45,0)+40,0)))))</f>
      </c>
      <c r="BB47" s="44">
        <f ca="1" t="shared" si="124"/>
      </c>
      <c r="BC47" s="61">
        <f ca="1">IF(AY47=0,"",IF(AZ47=0,IF(INDIRECT(LEFT(BB47,2)&amp;RIGHT(BB47,2)+6)&gt;=MIN($BC$38:BC46),"",INDIRECT(LEFT(BB47,2)&amp;RIGHT(BB47,2)+6)),IF(INDIRECT(LEFT(BB47,2)&amp;RIGHT(BB47,2)+4)&gt;=MIN($BC$38:BC46),"",INDIRECT(LEFT(BB47,2)&amp;RIGHT(BB47,2)+4))))</f>
      </c>
      <c r="BD47" s="61">
        <f t="shared" si="129"/>
      </c>
      <c r="BE47" s="61"/>
      <c r="BF47" s="61"/>
      <c r="BG47" s="61"/>
      <c r="BH47" s="61"/>
      <c r="BI47" s="61"/>
      <c r="BJ47" s="61"/>
      <c r="BK47" s="248"/>
      <c r="BL47" s="255"/>
      <c r="BM47" s="61"/>
      <c r="BN47" s="61"/>
      <c r="BO47" s="61"/>
      <c r="BP47" s="61"/>
      <c r="BQ47" s="842" t="e">
        <f>IF(OR(AND(BV46&lt;&gt;"",BQ46&lt;40),BQ46&lt;35),BQ46+1,"")</f>
        <v>#NUM!</v>
      </c>
      <c r="BR47" s="842"/>
      <c r="BS47" s="842"/>
      <c r="BT47" s="842" t="e">
        <f>IF(BQ47="","",($BP$39+SUM($BY$38:BY46))/(BQ47+8))</f>
        <v>#NUM!</v>
      </c>
      <c r="BU47" s="425" t="e">
        <f>IF(OR(BV47&lt;&gt;"",MAX($BU$38:BU46)=3,AND(RIGHT(BX47,2)=RIGHT(BX46,2),VALUE(RIGHT(BX47,2))&gt;30)),0,BU46+1)</f>
        <v>#NUM!</v>
      </c>
      <c r="BV47" s="842" t="e">
        <f>IF(BV46="","",IF(OR(COUNT($BM$10:$BP$30)+$BV46&lt;35,AND(MAX($BV$38:BV46)+$BQ$38&lt;40,AND($BQ47&lt;40,$BY47&gt;$BT47))),BV46+1,""))</f>
        <v>#NUM!</v>
      </c>
      <c r="BW47" s="842" t="s">
        <v>235</v>
      </c>
      <c r="BX47" s="842">
        <f t="shared" si="131"/>
      </c>
      <c r="BY47" s="842">
        <f t="shared" si="125"/>
      </c>
      <c r="BZ47" s="61"/>
      <c r="CA47" s="248">
        <v>10</v>
      </c>
      <c r="CB47" s="248"/>
      <c r="CC47" s="928">
        <f ca="1">IF(OR($BY47="",ISERROR(MATCH($BY47,BW$11:BW$34,0))=TRUE),0,IF(OR(AND(COUNTIF(BW$11:BW$34,$BY47)=1,ISNA(MATCH(MATCH($BY47,$BW$11:$BW$34,0)+10,CC$38:CC46,0)=TRUE)),AND(COUNTIF(BW$11:BW$34,$BY47)&gt;=2,$BY47&lt;&gt;$BY46)),MATCH($BY47,BW$11:BW$34,0)+10,IF(AND(COUNTIF(BW$11:BW$34,$BY47)&gt;=2,COUNTIF(INDIRECT("CC$"&amp;MATCH($BY47,$BY$38:$BY47,0)+37):CC46,"&gt;0")&lt;COUNTIF(BW$11:BW$34,$BY47)),MATCH($BY47,INDIRECT("BW"&amp;CC46+1):$BW$34,0)+CC46,0)))</f>
        <v>0</v>
      </c>
      <c r="CD47" s="255">
        <f ca="1">IF(OR($BY47="",CC47&lt;&gt;0,ISERROR(MATCH($BY47,$BV$11:$BV$34,0))=TRUE),0,IF(OR(AND(COUNTIF($BV$11:$BV$34,$BY47)=1,ISNA(MATCH(MATCH($BY47,$BV$11:$BV$34,0)+10,CD$38:CD46,0)=TRUE)),AND(COUNTIF($BV$11:$BV$34,$BY47)&gt;=2,$BY47&lt;&gt;$BY46)),MATCH($BY47,$BV$11:$BV$34,0)+10,IF(AND(COUNTIF($BV$11:$BV$34,$BY47)&gt;=2,COUNTIF(INDIRECT("CD$"&amp;MATCH($BY47,$BY$38:$BY47,0)+37):CD46,"&gt;0")&lt;COUNTIF($BV$11:$BV$34,$BY47)),MATCH($BY47,INDIRECT("BV"&amp;CD46+1):$BV$34,0)+CD46,0)))</f>
        <v>0</v>
      </c>
      <c r="CE47" s="255">
        <f ca="1">IF(OR($BY47="",CC47&lt;&gt;0,CD47&lt;&gt;0,ISERROR(MATCH($BY47,BU$11:BU$34,0))=TRUE),0,IF(OR(AND(COUNTIF(BU$11:BU$34,$BY47)=1,ISNA(MATCH(MATCH($BY47,$BU$11:$BU$34,0)+10,CE$38:CE46,0)=TRUE)),AND(COUNTIF(BU$11:BU$34,$BY47)&gt;=2,$BY47&lt;&gt;$BY46)),MATCH($BY47,BU$11:BU$34,0)+10,IF(AND(COUNTIF(BU$11:BU$34,$BY47)&gt;=2,COUNTIF(INDIRECT("CE$"&amp;MATCH($BY47,$BY$38:$BY47,0)+37):CE46,"&gt;0")&lt;COUNTIF(BU$11:BU$34,$BY47)),MATCH($BY47,INDIRECT("BU"&amp;CE46+1):$BU$34,0)+CE46,0)))</f>
        <v>0</v>
      </c>
      <c r="CF47" s="929">
        <f ca="1">IF(OR($BY47="",CC47&lt;&gt;0,CD47&lt;&gt;0,CE47&lt;&gt;0,ISERROR(MATCH($BY47,BT$11:BT$34,0))=TRUE),0,IF(OR(AND(COUNTIF(BT$11:BT$34,$BY47)=1,ISNA(MATCH(MATCH($BY47,$BT$11:$BT$34,0)+10,CF$38:CF46,0)=TRUE)),AND(COUNTIF(BT$11:BT$34,$BY47)&gt;=2,$BY47&lt;&gt;$BY46)),MATCH($BY47,BT$11:BT$34,0)+10,IF(AND(COUNTIF(BT$11:BT$34,$BY47)&gt;=2,COUNTIF(INDIRECT("CF$"&amp;MATCH($BY47,$BY$38:$BY47,0)+37):CF46,"&gt;0")&lt;COUNTIF(BT$11:BT$34,$BY47)),MATCH($BY47,INDIRECT("BT"&amp;CF46+1):$BT$34,0)+CF46,0)))</f>
        <v>0</v>
      </c>
      <c r="CG47" s="248"/>
      <c r="CH47" s="248">
        <f t="shared" si="132"/>
      </c>
      <c r="CI47" s="248"/>
      <c r="CJ47" s="61">
        <f t="shared" si="126"/>
      </c>
      <c r="CK47" s="33"/>
      <c r="CL47" s="33"/>
      <c r="CM47" s="248"/>
      <c r="CN47" s="248"/>
      <c r="CO47" s="248"/>
      <c r="CP47" s="61"/>
      <c r="CQ47" s="33"/>
      <c r="CR47" s="33"/>
      <c r="CS47" s="248"/>
      <c r="CT47" s="248"/>
      <c r="CU47" s="248"/>
      <c r="CV47" s="61"/>
      <c r="CW47" s="33"/>
      <c r="CX47" s="33"/>
      <c r="CY47" s="248"/>
      <c r="CZ47" s="248"/>
      <c r="DA47" s="248"/>
      <c r="DB47" s="61"/>
      <c r="DC47" s="33"/>
      <c r="DD47" s="33"/>
      <c r="DE47" s="248"/>
      <c r="DF47" s="248"/>
      <c r="DG47" s="248"/>
      <c r="DH47" s="61"/>
      <c r="DI47" s="33"/>
      <c r="DJ47" s="33"/>
      <c r="DK47" s="248"/>
      <c r="DL47" s="248"/>
      <c r="DM47" s="248"/>
      <c r="DN47" s="61"/>
      <c r="DO47" s="33"/>
      <c r="DP47" s="33"/>
      <c r="DQ47" s="248"/>
      <c r="DR47" s="248"/>
      <c r="DS47" s="248"/>
      <c r="DT47" s="61"/>
      <c r="DU47" s="33"/>
      <c r="DV47" s="33"/>
      <c r="DW47" s="248"/>
      <c r="DX47" s="248"/>
      <c r="DY47" s="248"/>
      <c r="DZ47" s="61"/>
      <c r="EA47" s="33"/>
      <c r="EB47" s="33"/>
      <c r="EC47" s="248"/>
      <c r="ED47" s="248"/>
      <c r="EE47" s="248"/>
      <c r="EF47" s="61"/>
      <c r="EG47" s="33"/>
      <c r="EH47" s="33"/>
      <c r="EI47" s="248"/>
      <c r="EJ47" s="248"/>
      <c r="EK47" s="248"/>
      <c r="EL47" s="61"/>
      <c r="EM47" s="61"/>
      <c r="EN47" s="33"/>
      <c r="EO47" s="33"/>
      <c r="EP47" s="248"/>
      <c r="EQ47" s="248"/>
      <c r="ER47" s="248"/>
      <c r="ES47" s="61"/>
      <c r="ET47" s="938" t="e">
        <f>IF(OR(AND(FD20&lt;&gt;"",ET46&lt;40),ET46&lt;35),ET46+1,"")</f>
        <v>#NUM!</v>
      </c>
      <c r="EU47" s="1039"/>
      <c r="EV47" s="938" t="e">
        <f>IF(ET47="","",($ES$37+SUM($FF$11:FF20))/(ET47+8))</f>
        <v>#NUM!</v>
      </c>
      <c r="EW47" s="33"/>
      <c r="EX47" s="33"/>
      <c r="EY47" s="33"/>
      <c r="EZ47" s="33"/>
    </row>
    <row r="48" spans="10:193" ht="12.75" customHeight="1">
      <c r="J48" s="334"/>
      <c r="K48" s="336"/>
      <c r="L48" s="334"/>
      <c r="M48" s="290"/>
      <c r="N48" s="290"/>
      <c r="P48" s="290"/>
      <c r="Q48" s="334"/>
      <c r="R48" s="290"/>
      <c r="U48" s="58"/>
      <c r="V48" s="58"/>
      <c r="Z48" s="33"/>
      <c r="AA48" s="33"/>
      <c r="AB48" s="33"/>
      <c r="AC48" s="78"/>
      <c r="AD48" s="78"/>
      <c r="AE48" s="78"/>
      <c r="AF48" s="78"/>
      <c r="AG48" s="78"/>
      <c r="AH48" s="44"/>
      <c r="AJ48" s="78"/>
      <c r="AK48" s="61"/>
      <c r="AL48" s="33"/>
      <c r="AM48" s="325"/>
      <c r="AN48" s="984">
        <v>27</v>
      </c>
      <c r="AO48" s="584">
        <f>IF(OR(AO45="",AO45=0,AO46&lt;&gt;0,AO47&lt;&gt;0,ISERROR(MATCH(AO45,$AO27:$BA27,0)=TRUE)),0,MATCH(AO45,$AO27:$BA27,0)+40)</f>
        <v>0</v>
      </c>
      <c r="AP48" s="255">
        <f ca="1">IF(OR(AP$45="",AP45=0,AP46&lt;&gt;0,AP47&lt;&gt;0,ISERROR(MATCH(AP$45,$AO27:$BB27,0))=TRUE),0,IF(OR(AND(COUNTIF($AO27:$BB27,AP$45)=1,ISNA(MATCH(MATCH(AP$45,$AO27:$BB27,0)+40,$AO48:AO48,0)=TRUE)),AND(COUNTIF($AO27:$BB27,AP$45)&gt;=2,AP$45&lt;&gt;AO$45)),MATCH(AP$45,$AO27:$BB27,0)+40,IF(AND(COUNTIF($AO27:$BB27,AP$45)&gt;=2,COUNTIF(INDIRECT(ADDRESS(48,MATCH(AP$45,$AO$45:AP$45,0)+40,4)&amp;":"&amp;ADDRESS(ROW($AO48),COLUMN(AO48),4)),"&gt;0")&lt;=COUNTIF($AO27:$BB27,AP$45),ISNA(MATCH(AP$45,INDIRECT(ADDRESS(27,AO48+1,4)):$BB27,0)+AO48)=FALSE),MATCH(AP$45,INDIRECT(ADDRESS(27,AO48+1,4)):$BB27,0)+AO48,0)))</f>
        <v>0</v>
      </c>
      <c r="AQ48" s="255">
        <f ca="1">IF(OR(AQ$45="",AQ45=0,AQ46&lt;&gt;0,AQ47&lt;&gt;0,ISERROR(MATCH(AQ$45,$AO27:$BB27,0))=TRUE),0,IF(OR(AND(COUNTIF($AO27:$BB27,AQ$45)=1,ISNA(MATCH(MATCH(AQ$45,$AO27:$BB27,0)+40,$AO48:AP48,0)=TRUE)),AND(COUNTIF($AO27:$BB27,AQ$45)&gt;=2,AQ$45&lt;&gt;AP$45)),MATCH(AQ$45,$AO27:$BB27,0)+40,IF(AND(COUNTIF($AO27:$BB27,AQ$45)&gt;=2,COUNTIF(INDIRECT(ADDRESS(48,MATCH(AQ$45,$AO$45:AQ$45,0)+40,4)&amp;":"&amp;ADDRESS(ROW($AO48),COLUMN(AP48),4)),"&gt;0")&lt;=COUNTIF($AO27:$BB27,AQ$45),ISNA(MATCH(AQ$45,INDIRECT(ADDRESS(27,AP48+1,4)):$BB27,0)+AP48)=FALSE),MATCH(AQ$45,INDIRECT(ADDRESS(27,AP48+1,4)):$BB27,0)+AP48,0)))</f>
        <v>0</v>
      </c>
      <c r="AR48" s="255">
        <f ca="1">IF(OR(AR$45="",AR45=0,AR46&lt;&gt;0,AR47&lt;&gt;0,ISERROR(MATCH(AR$45,$AO27:$BB27,0))=TRUE),0,IF(OR(AND(COUNTIF($AO27:$BB27,AR$45)=1,ISNA(MATCH(MATCH(AR$45,$AO27:$BB27,0)+40,$AO48:AQ48,0)=TRUE)),AND(COUNTIF($AO27:$BB27,AR$45)&gt;=2,AR$45&lt;&gt;AQ$45)),MATCH(AR$45,$AO27:$BB27,0)+40,IF(AND(COUNTIF($AO27:$BB27,AR$45)&gt;=2,COUNTIF(INDIRECT(ADDRESS(48,MATCH(AR$45,$AO$45:AR$45,0)+40,4)&amp;":"&amp;ADDRESS(ROW($AO48),COLUMN(AQ48),4)),"&gt;0")&lt;=COUNTIF($AO27:$BB27,AR$45),ISNA(MATCH(AR$45,INDIRECT(ADDRESS(27,AQ48+1,4)):$BB27,0)+AQ48)=FALSE),MATCH(AR$45,INDIRECT(ADDRESS(27,AQ48+1,4)):$BB27,0)+AQ48,0)))</f>
        <v>0</v>
      </c>
      <c r="AS48" s="255">
        <f ca="1">IF(OR(AS$45="",AS45=0,AS46&lt;&gt;0,AS47&lt;&gt;0,ISERROR(MATCH(AS$45,$AO27:$BB27,0))=TRUE),0,IF(OR(AND(COUNTIF($AO27:$BB27,AS$45)=1,ISNA(MATCH(MATCH(AS$45,$AO27:$BB27,0)+40,$AO48:AR48,0)=TRUE)),AND(COUNTIF($AO27:$BB27,AS$45)&gt;=2,AS$45&lt;&gt;AR$45)),MATCH(AS$45,$AO27:$BB27,0)+40,IF(AND(COUNTIF($AO27:$BB27,AS$45)&gt;=2,COUNTIF(INDIRECT(ADDRESS(48,MATCH(AS$45,$AO$45:AS$45,0)+40,4)&amp;":"&amp;ADDRESS(ROW($AO48),COLUMN(AR48),4)),"&gt;0")&lt;=COUNTIF($AO27:$BB27,AS$45),ISNA(MATCH(AS$45,INDIRECT(ADDRESS(27,AR48+1,4)):$BB27,0)+AR48)=FALSE),MATCH(AS$45,INDIRECT(ADDRESS(27,AR48+1,4)):$BB27,0)+AR48,0)))</f>
        <v>0</v>
      </c>
      <c r="AT48" s="255">
        <f ca="1">IF(OR(AT$45="",AT45=0,AT46&lt;&gt;0,AT47&lt;&gt;0,ISERROR(MATCH(AT$45,$AO27:$BB27,0))=TRUE),0,IF(OR(AND(COUNTIF($AO27:$BB27,AT$45)=1,ISNA(MATCH(MATCH(AT$45,$AO27:$BB27,0)+40,$AO48:AS48,0)=TRUE)),AND(COUNTIF($AO27:$BB27,AT$45)&gt;=2,AT$45&lt;&gt;AS$45)),MATCH(AT$45,$AO27:$BB27,0)+40,IF(AND(COUNTIF($AO27:$BB27,AT$45)&gt;=2,COUNTIF(INDIRECT(ADDRESS(48,MATCH(AT$45,$AO$45:AT$45,0)+40,4)&amp;":"&amp;ADDRESS(ROW($AO48),COLUMN(AS48),4)),"&gt;0")&lt;=COUNTIF($AO27:$BB27,AT$45),ISNA(MATCH(AT$45,INDIRECT(ADDRESS(27,AS48+1,4)):$BB27,0)+AS48)=FALSE),MATCH(AT$45,INDIRECT(ADDRESS(27,AS48+1,4)):$BB27,0)+AS48,0)))</f>
        <v>0</v>
      </c>
      <c r="AU48" s="255">
        <f ca="1">IF(OR(AU$45="",AU45=0,AU46&lt;&gt;0,AU47&lt;&gt;0,ISERROR(MATCH(AU$45,$AO27:$BB27,0))=TRUE),0,IF(OR(AND(COUNTIF($AO27:$BB27,AU$45)=1,ISNA(MATCH(MATCH(AU$45,$AO27:$BB27,0)+40,$AO48:AT48,0)=TRUE)),AND(COUNTIF($AO27:$BB27,AU$45)&gt;=2,AU$45&lt;&gt;AT$45)),MATCH(AU$45,$AO27:$BB27,0)+40,IF(AND(COUNTIF($AO27:$BB27,AU$45)&gt;=2,COUNTIF(INDIRECT(ADDRESS(48,MATCH(AU$45,$AO$45:AU$45,0)+40,4)&amp;":"&amp;ADDRESS(ROW($AO48),COLUMN(AT48),4)),"&gt;0")&lt;=COUNTIF($AO27:$BB27,AU$45),ISNA(MATCH(AU$45,INDIRECT(ADDRESS(27,AT48+1,4)):$BB27,0)+AT48)=FALSE),MATCH(AU$45,INDIRECT(ADDRESS(27,AT48+1,4)):$BB27,0)+AT48,0)))</f>
        <v>0</v>
      </c>
      <c r="AV48" s="255">
        <f ca="1">IF(OR(AV$45="",AV45=0,AV46&lt;&gt;0,AV47&lt;&gt;0,ISERROR(MATCH(AV$45,$AO27:$BB27,0))=TRUE),0,IF(OR(AND(COUNTIF($AO27:$BB27,AV$45)=1,ISNA(MATCH(MATCH(AV$45,$AO27:$BB27,0)+40,$AO48:AU48,0)=TRUE)),AND(COUNTIF($AO27:$BB27,AV$45)&gt;=2,AV$45&lt;&gt;AU$45)),MATCH(AV$45,$AO27:$BB27,0)+40,IF(AND(COUNTIF($AO27:$BB27,AV$45)&gt;=2,COUNTIF(INDIRECT(ADDRESS(48,MATCH(AV$45,$AO$45:AV$45,0)+40,4)&amp;":"&amp;ADDRESS(ROW($AO48),COLUMN(AU48),4)),"&gt;0")&lt;=COUNTIF($AO27:$BB27,AV$45),ISNA(MATCH(AV$45,INDIRECT(ADDRESS(27,AU48+1,4)):$BB27,0)+AU48)=FALSE),MATCH(AV$45,INDIRECT(ADDRESS(27,AU48+1,4)):$BB27,0)+AU48,0)))</f>
        <v>0</v>
      </c>
      <c r="AW48" s="248"/>
      <c r="AX48" s="44">
        <v>11</v>
      </c>
      <c r="AY48" s="61">
        <f t="shared" si="128"/>
        <v>0</v>
      </c>
      <c r="AZ48" s="61">
        <f ca="1">IF(AY48=0,"",IF(OR($AY48="",ISERROR(MATCH($AY48,$AO$44:$AV$44,0))=TRUE),0,IF(OR(AND(COUNTIF($AO$44:$AV$44,$AY48)=1,ISNA(MATCH(MATCH($AY48,$AO$44:$AV$44,0)+40,AZ$38:AZ47,0)=TRUE)),AND(COUNTIF($AO$44:$AV$44,$AY48)&gt;=2,$AY48&lt;&gt;$AY47)),MATCH($AY48,$AO$44:$AV$44,0)+40,IF(AND(COUNTIF($AO$44:$AV$44,$AY48)&gt;=2,COUNTIF(INDIRECT("AZ$"&amp;MATCH($AY48,$AY$38:$AY48,0)+37):AZ47,"&gt;0")&lt;COUNTIF($AO$44:$AV$44,$AY48)),AZ47+1,0))))</f>
      </c>
      <c r="BA48" s="61">
        <f ca="1">IF(AY48=0,"",IF(OR($AY48="",AZ48&lt;&gt;0,ISERROR(MATCH($AY48,$AO$45:$AV$45,0))=TRUE),0,IF(OR(AND(COUNTIF($AO$45:$AV$45,$AY48)=1,ISNA(MATCH(MATCH($AY48,$AO$45:$AV$45,0)+40,BA$38:BA47,0)=TRUE)),AND(COUNTIF($AO$45:$AV$45,$AY48)&gt;=2,$AY48&lt;&gt;$AY47)),MATCH($AY48,$AO$45:$AV$45,0)+40,IF(AND(COUNTIF($AO$45:$AV$45,$AY48)&gt;=2,COUNTIF(INDIRECT("BA$"&amp;MATCH($AY48,$AY$38:$AY48,0)+37):BA47,"&gt;0")&lt;COUNTIF($AO$45:$AV$45,$AY48),BA47&lt;&gt;0),MATCH($AY48,INDIRECT(ADDRESS(45,BA47+1,4)),0)+BA47,IF(BA47=0,MATCH($AY48,$AO$45:$AV$45,0)+40,0)))))</f>
      </c>
      <c r="BB48" s="44">
        <f ca="1" t="shared" si="124"/>
      </c>
      <c r="BC48" s="61">
        <f ca="1">IF(AY48=0,"",IF(AZ48=0,IF(INDIRECT(LEFT(BB48,2)&amp;RIGHT(BB48,2)+6)&gt;=MIN($BC$38:BC47),"",INDIRECT(LEFT(BB48,2)&amp;RIGHT(BB48,2)+6)),IF(INDIRECT(LEFT(BB48,2)&amp;RIGHT(BB48,2)+4)&gt;=MIN($BC$38:BC47),"",INDIRECT(LEFT(BB48,2)&amp;RIGHT(BB48,2)+4))))</f>
      </c>
      <c r="BD48" s="61">
        <f t="shared" si="129"/>
      </c>
      <c r="BE48" s="61"/>
      <c r="BF48" s="61"/>
      <c r="BG48" s="61"/>
      <c r="BH48" s="61"/>
      <c r="BI48" s="61"/>
      <c r="BJ48" s="61"/>
      <c r="BK48" s="248"/>
      <c r="BL48" s="255"/>
      <c r="BM48" s="61"/>
      <c r="BN48" s="61"/>
      <c r="BO48" s="61"/>
      <c r="BP48" s="61"/>
      <c r="BQ48" s="842" t="e">
        <f>IF(OR(AND(BV47&lt;&gt;"",BQ47&lt;40),BQ47&lt;35),BQ47+1,"")</f>
        <v>#NUM!</v>
      </c>
      <c r="BR48" s="842"/>
      <c r="BS48" s="842"/>
      <c r="BT48" s="842" t="e">
        <f>IF(BQ48="","",($BP$39+SUM($BY$38:BY47))/(BQ48+8))</f>
        <v>#NUM!</v>
      </c>
      <c r="BU48" s="425" t="e">
        <f>IF(OR(BV48&lt;&gt;"",MAX($BU$38:BU47)=3,AND(RIGHT(BX48,2)=RIGHT(BX47,2),VALUE(RIGHT(BX48,2))&gt;30)),0,BU47+1)</f>
        <v>#NUM!</v>
      </c>
      <c r="BV48" s="842" t="e">
        <f>IF(BV47="","",IF(OR(COUNT($BM$10:$BP$30)+$BV47&lt;35,AND(MAX($BV$38:BV47)+$BQ$38&lt;40,AND($BQ48&lt;40,$BY48&gt;$BT48))),BV47+1,""))</f>
        <v>#NUM!</v>
      </c>
      <c r="BW48" s="842" t="s">
        <v>236</v>
      </c>
      <c r="BX48" s="842">
        <f t="shared" si="131"/>
      </c>
      <c r="BY48" s="842">
        <f t="shared" si="125"/>
      </c>
      <c r="BZ48" s="61"/>
      <c r="CA48" s="248">
        <v>11</v>
      </c>
      <c r="CB48" s="248"/>
      <c r="CC48" s="928">
        <f ca="1">IF(OR($BY48="",ISERROR(MATCH($BY48,BW$11:BW$34,0))=TRUE),0,IF(OR(AND(COUNTIF(BW$11:BW$34,$BY48)=1,ISNA(MATCH(MATCH($BY48,$BW$11:$BW$34,0)+10,CC$38:CC47,0)=TRUE)),AND(COUNTIF(BW$11:BW$34,$BY48)&gt;=2,$BY48&lt;&gt;$BY47)),MATCH($BY48,BW$11:BW$34,0)+10,IF(AND(COUNTIF(BW$11:BW$34,$BY48)&gt;=2,COUNTIF(INDIRECT("CC$"&amp;MATCH($BY48,$BY$38:$BY48,0)+37):CC47,"&gt;0")&lt;COUNTIF(BW$11:BW$34,$BY48)),MATCH($BY48,INDIRECT("BW"&amp;CC47+1):$BW$34,0)+CC47,0)))</f>
        <v>0</v>
      </c>
      <c r="CD48" s="255">
        <f ca="1">IF(OR($BY48="",CC48&lt;&gt;0,ISERROR(MATCH($BY48,$BV$11:$BV$34,0))=TRUE),0,IF(OR(AND(COUNTIF($BV$11:$BV$34,$BY48)=1,ISNA(MATCH(MATCH($BY48,$BV$11:$BV$34,0)+10,CD$38:CD47,0)=TRUE)),AND(COUNTIF($BV$11:$BV$34,$BY48)&gt;=2,$BY48&lt;&gt;$BY47)),MATCH($BY48,$BV$11:$BV$34,0)+10,IF(AND(COUNTIF($BV$11:$BV$34,$BY48)&gt;=2,COUNTIF(INDIRECT("CD$"&amp;MATCH($BY48,$BY$38:$BY48,0)+37):CD47,"&gt;0")&lt;COUNTIF($BV$11:$BV$34,$BY48)),MATCH($BY48,INDIRECT("BV"&amp;CD47+1):$BV$34,0)+CD47,0)))</f>
        <v>0</v>
      </c>
      <c r="CE48" s="255">
        <f ca="1">IF(OR($BY48="",CC48&lt;&gt;0,CD48&lt;&gt;0,ISERROR(MATCH($BY48,BU$11:BU$34,0))=TRUE),0,IF(OR(AND(COUNTIF(BU$11:BU$34,$BY48)=1,ISNA(MATCH(MATCH($BY48,$BU$11:$BU$34,0)+10,CE$38:CE47,0)=TRUE)),AND(COUNTIF(BU$11:BU$34,$BY48)&gt;=2,$BY48&lt;&gt;$BY47)),MATCH($BY48,BU$11:BU$34,0)+10,IF(AND(COUNTIF(BU$11:BU$34,$BY48)&gt;=2,COUNTIF(INDIRECT("CE$"&amp;MATCH($BY48,$BY$38:$BY48,0)+37):CE47,"&gt;0")&lt;COUNTIF(BU$11:BU$34,$BY48)),MATCH($BY48,INDIRECT("BU"&amp;CE47+1):$BU$34,0)+CE47,0)))</f>
        <v>0</v>
      </c>
      <c r="CF48" s="929">
        <f ca="1">IF(OR($BY48="",CC48&lt;&gt;0,CD48&lt;&gt;0,CE48&lt;&gt;0,ISERROR(MATCH($BY48,BT$11:BT$34,0))=TRUE),0,IF(OR(AND(COUNTIF(BT$11:BT$34,$BY48)=1,ISNA(MATCH(MATCH($BY48,$BT$11:$BT$34,0)+10,CF$38:CF47,0)=TRUE)),AND(COUNTIF(BT$11:BT$34,$BY48)&gt;=2,$BY48&lt;&gt;$BY47)),MATCH($BY48,BT$11:BT$34,0)+10,IF(AND(COUNTIF(BT$11:BT$34,$BY48)&gt;=2,COUNTIF(INDIRECT("CF$"&amp;MATCH($BY48,$BY$38:$BY48,0)+37):CF47,"&gt;0")&lt;COUNTIF(BT$11:BT$34,$BY48)),MATCH($BY48,INDIRECT("BT"&amp;CF47+1):$BT$34,0)+CF47,0)))</f>
        <v>0</v>
      </c>
      <c r="CG48" s="248"/>
      <c r="CH48" s="248">
        <f t="shared" si="132"/>
      </c>
      <c r="CI48" s="248"/>
      <c r="CJ48" s="61">
        <f t="shared" si="126"/>
      </c>
      <c r="CK48" s="33"/>
      <c r="CL48" s="33"/>
      <c r="CM48" s="248"/>
      <c r="CN48" s="248"/>
      <c r="CO48" s="248"/>
      <c r="CP48" s="61"/>
      <c r="CQ48" s="33"/>
      <c r="CR48" s="33"/>
      <c r="CS48" s="248"/>
      <c r="CT48" s="248"/>
      <c r="CU48" s="248"/>
      <c r="CV48" s="61"/>
      <c r="CW48" s="33"/>
      <c r="CX48" s="33"/>
      <c r="CY48" s="248"/>
      <c r="CZ48" s="248"/>
      <c r="DA48" s="248"/>
      <c r="DB48" s="61"/>
      <c r="DC48" s="33"/>
      <c r="DD48" s="33"/>
      <c r="DE48" s="248"/>
      <c r="DF48" s="248"/>
      <c r="DG48" s="248"/>
      <c r="DH48" s="61"/>
      <c r="DI48" s="33"/>
      <c r="DJ48" s="33"/>
      <c r="DK48" s="248"/>
      <c r="DL48" s="248"/>
      <c r="DM48" s="248"/>
      <c r="DN48" s="61"/>
      <c r="DO48" s="33"/>
      <c r="DP48" s="33"/>
      <c r="DQ48" s="248"/>
      <c r="DR48" s="248"/>
      <c r="DS48" s="248"/>
      <c r="DT48" s="61"/>
      <c r="DU48" s="33"/>
      <c r="DV48" s="33"/>
      <c r="DW48" s="248"/>
      <c r="DX48" s="248"/>
      <c r="DY48" s="248"/>
      <c r="DZ48" s="61"/>
      <c r="EA48" s="33"/>
      <c r="EB48" s="33"/>
      <c r="EC48" s="248"/>
      <c r="ED48" s="248"/>
      <c r="EE48" s="248"/>
      <c r="EF48" s="61"/>
      <c r="EG48" s="33"/>
      <c r="EH48" s="33"/>
      <c r="EI48" s="248"/>
      <c r="EJ48" s="248"/>
      <c r="EK48" s="248"/>
      <c r="EL48" s="61"/>
      <c r="EM48" s="61"/>
      <c r="EN48" s="33"/>
      <c r="EO48" s="33"/>
      <c r="EP48" s="248"/>
      <c r="EQ48" s="248"/>
      <c r="ER48" s="248"/>
      <c r="ES48" s="61"/>
      <c r="ET48" s="255" t="e">
        <f t="shared" si="127"/>
        <v>#NUM!</v>
      </c>
      <c r="EU48" s="33"/>
      <c r="EV48" s="33"/>
      <c r="EW48" s="33"/>
      <c r="EX48" s="33"/>
      <c r="EY48" s="33"/>
      <c r="EZ48" s="33"/>
      <c r="GK48" s="58"/>
    </row>
    <row r="49" spans="1:204" ht="17.25" customHeight="1">
      <c r="A49" s="290"/>
      <c r="B49" s="290"/>
      <c r="C49" s="290"/>
      <c r="D49" s="254"/>
      <c r="E49" s="254"/>
      <c r="F49" s="254"/>
      <c r="G49" s="254"/>
      <c r="P49" s="290"/>
      <c r="Q49" s="290"/>
      <c r="R49" s="290"/>
      <c r="T49" s="58"/>
      <c r="U49" s="58"/>
      <c r="V49" s="58"/>
      <c r="X49" s="248"/>
      <c r="Z49" s="1438"/>
      <c r="AA49" s="33"/>
      <c r="AB49" s="33"/>
      <c r="AC49" s="78"/>
      <c r="AD49" s="78"/>
      <c r="AE49" s="78"/>
      <c r="AF49" s="78"/>
      <c r="AH49" s="44"/>
      <c r="AJ49" s="78"/>
      <c r="AK49" s="61"/>
      <c r="AM49" s="325"/>
      <c r="AN49" s="982" t="s">
        <v>450</v>
      </c>
      <c r="AO49" s="981">
        <f>IF(SUM(AO46:AO48)=0,"",IF(AO46&lt;&gt;0,ADDRESS($AN$46,AO46,4),IF(AO47&lt;&gt;0,ADDRESS($AN$47,AO47,4),ADDRESS($AN$48,AO48,4))))</f>
      </c>
      <c r="AP49" s="981">
        <f>IF(SUM(AP46:AP48)=0,"",IF(AP46&lt;&gt;0,ADDRESS($AN$46,AP46,4),IF(AP47&lt;&gt;0,ADDRESS($AN$47,AP47,4),ADDRESS($AN$48,AP48,4))))</f>
      </c>
      <c r="AQ49" s="981">
        <f aca="true" t="shared" si="138" ref="AQ49:AV49">IF(SUM(AQ46:AQ48)=0,"",IF(AQ46&lt;&gt;0,ADDRESS($AN$46,AQ46,4),IF(AQ47&lt;&gt;0,ADDRESS($AN$47,AQ47,4),ADDRESS($AN$48,AQ48,4))))</f>
      </c>
      <c r="AR49" s="981">
        <f t="shared" si="138"/>
      </c>
      <c r="AS49" s="981">
        <f t="shared" si="138"/>
      </c>
      <c r="AT49" s="981">
        <f t="shared" si="138"/>
      </c>
      <c r="AU49" s="981">
        <f t="shared" si="138"/>
      </c>
      <c r="AV49" s="981">
        <f t="shared" si="138"/>
      </c>
      <c r="AW49" s="61"/>
      <c r="AX49" s="44">
        <v>12</v>
      </c>
      <c r="AY49" s="61">
        <f t="shared" si="128"/>
        <v>0</v>
      </c>
      <c r="AZ49" s="61">
        <f ca="1">IF(AY49=0,"",IF(OR($AY49="",ISERROR(MATCH($AY49,$AO$44:$AV$44,0))=TRUE),0,IF(OR(AND(COUNTIF($AO$44:$AV$44,$AY49)=1,ISNA(MATCH(MATCH($AY49,$AO$44:$AV$44,0)+40,AZ$38:AZ48,0)=TRUE)),AND(COUNTIF($AO$44:$AV$44,$AY49)&gt;=2,$AY49&lt;&gt;$AY48)),MATCH($AY49,$AO$44:$AV$44,0)+40,IF(AND(COUNTIF($AO$44:$AV$44,$AY49)&gt;=2,COUNTIF(INDIRECT("AZ$"&amp;MATCH($AY49,$AY$38:$AY49,0)+37):AZ48,"&gt;0")&lt;COUNTIF($AO$44:$AV$44,$AY49)),AZ48+1,0))))</f>
      </c>
      <c r="BA49" s="61">
        <f ca="1">IF(AY49=0,"",IF(OR($AY49="",AZ49&lt;&gt;0,ISERROR(MATCH($AY49,$AO$45:$AV$45,0))=TRUE),0,IF(OR(AND(COUNTIF($AO$45:$AV$45,$AY49)=1,ISNA(MATCH(MATCH($AY49,$AO$45:$AV$45,0)+40,BA$38:BA48,0)=TRUE)),AND(COUNTIF($AO$45:$AV$45,$AY49)&gt;=2,$AY49&lt;&gt;$AY48)),MATCH($AY49,$AO$45:$AV$45,0)+40,IF(AND(COUNTIF($AO$45:$AV$45,$AY49)&gt;=2,COUNTIF(INDIRECT("BA$"&amp;MATCH($AY49,$AY$38:$AY49,0)+37):BA48,"&gt;0")&lt;COUNTIF($AO$45:$AV$45,$AY49),BA48&lt;&gt;0),MATCH($AY49,INDIRECT(ADDRESS(45,BA48+1,4)),0)+BA48,IF(BA48=0,MATCH($AY49,$AO$45:$AV$45,0)+40,0)))))</f>
      </c>
      <c r="BB49" s="44">
        <f ca="1" t="shared" si="124"/>
      </c>
      <c r="BC49" s="61">
        <f ca="1">IF(AY49=0,"",IF(AZ49=0,IF(INDIRECT(LEFT(BB49,2)&amp;RIGHT(BB49,2)+6)&gt;=MIN($BC$38:BC48),"",INDIRECT(LEFT(BB49,2)&amp;RIGHT(BB49,2)+6)),IF(INDIRECT(LEFT(BB49,2)&amp;RIGHT(BB49,2)+4)&gt;=MIN($BC$38:BC48),"",INDIRECT(LEFT(BB49,2)&amp;RIGHT(BB49,2)+4))))</f>
      </c>
      <c r="BD49" s="61">
        <f t="shared" si="129"/>
      </c>
      <c r="BE49" s="61"/>
      <c r="BF49" s="61"/>
      <c r="BG49" s="61"/>
      <c r="BH49" s="61"/>
      <c r="BI49" s="61"/>
      <c r="BJ49" s="61"/>
      <c r="BK49" s="248"/>
      <c r="BL49" s="255"/>
      <c r="BM49" s="61"/>
      <c r="BN49" s="61"/>
      <c r="BO49" s="61"/>
      <c r="BP49" s="61"/>
      <c r="BQ49" s="842" t="e">
        <f>IF(OR(AND(BV48&lt;&gt;"",BQ48&lt;40),BQ48&lt;35),BQ48+1,"")</f>
        <v>#NUM!</v>
      </c>
      <c r="BR49" s="842"/>
      <c r="BS49" s="842"/>
      <c r="BT49" s="842" t="e">
        <f>IF(BQ49="","",($BP$39+SUM($BY$38:BY48))/(BQ49+8))</f>
        <v>#NUM!</v>
      </c>
      <c r="BU49" s="425" t="e">
        <f>IF(OR(BV49&lt;&gt;"",MAX($BU$38:BU48)=3,AND(RIGHT(BX49,2)=RIGHT(BX48,2),VALUE(RIGHT(BX49,2))&gt;30)),0,BU48+1)</f>
        <v>#NUM!</v>
      </c>
      <c r="BV49" s="842" t="e">
        <f>IF(BV48="","",IF(OR(COUNT($BM$10:$BP$30)+$BV48&lt;35,AND(MAX($BV$38:BV48)+$BQ$38&lt;40,AND($BQ49&lt;40,$BY49&gt;$BT49))),BV48+1,""))</f>
        <v>#NUM!</v>
      </c>
      <c r="BW49" s="842" t="s">
        <v>237</v>
      </c>
      <c r="BX49" s="842">
        <f t="shared" si="131"/>
      </c>
      <c r="BY49" s="842">
        <f t="shared" si="125"/>
      </c>
      <c r="BZ49" s="61"/>
      <c r="CA49" s="248">
        <v>12</v>
      </c>
      <c r="CB49" s="248"/>
      <c r="CC49" s="928">
        <f ca="1">IF(OR($BY49="",ISERROR(MATCH($BY49,BW$11:BW$34,0))=TRUE),0,IF(OR(AND(COUNTIF(BW$11:BW$34,$BY49)=1,ISNA(MATCH(MATCH($BY49,$BW$11:$BW$34,0)+10,CC$38:CC48,0)=TRUE)),AND(COUNTIF(BW$11:BW$34,$BY49)&gt;=2,$BY49&lt;&gt;$BY48)),MATCH($BY49,BW$11:BW$34,0)+10,IF(AND(COUNTIF(BW$11:BW$34,$BY49)&gt;=2,COUNTIF(INDIRECT("CC$"&amp;MATCH($BY49,$BY$38:$BY49,0)+37):CC48,"&gt;0")&lt;COUNTIF(BW$11:BW$34,$BY49)),MATCH($BY49,INDIRECT("BW"&amp;CC48+1):$BW$34,0)+CC48,0)))</f>
        <v>0</v>
      </c>
      <c r="CD49" s="255">
        <f ca="1">IF(OR($BY49="",CC49&lt;&gt;0,ISERROR(MATCH($BY49,$BV$11:$BV$34,0))=TRUE),0,IF(OR(AND(COUNTIF($BV$11:$BV$34,$BY49)=1,ISNA(MATCH(MATCH($BY49,$BV$11:$BV$34,0)+10,CD$38:CD48,0)=TRUE)),AND(COUNTIF($BV$11:$BV$34,$BY49)&gt;=2,$BY49&lt;&gt;$BY48)),MATCH($BY49,$BV$11:$BV$34,0)+10,IF(AND(COUNTIF($BV$11:$BV$34,$BY49)&gt;=2,COUNTIF(INDIRECT("CD$"&amp;MATCH($BY49,$BY$38:$BY49,0)+37):CD48,"&gt;0")&lt;COUNTIF($BV$11:$BV$34,$BY49)),MATCH($BY49,INDIRECT("BV"&amp;CD48+1):$BV$34,0)+CD48,0)))</f>
        <v>0</v>
      </c>
      <c r="CE49" s="255">
        <f ca="1">IF(OR($BY49="",CC49&lt;&gt;0,CD49&lt;&gt;0,ISERROR(MATCH($BY49,BU$11:BU$34,0))=TRUE),0,IF(OR(AND(COUNTIF(BU$11:BU$34,$BY49)=1,ISNA(MATCH(MATCH($BY49,$BU$11:$BU$34,0)+10,CE$38:CE48,0)=TRUE)),AND(COUNTIF(BU$11:BU$34,$BY49)&gt;=2,$BY49&lt;&gt;$BY48)),MATCH($BY49,BU$11:BU$34,0)+10,IF(AND(COUNTIF(BU$11:BU$34,$BY49)&gt;=2,COUNTIF(INDIRECT("CE$"&amp;MATCH($BY49,$BY$38:$BY49,0)+37):CE48,"&gt;0")&lt;COUNTIF(BU$11:BU$34,$BY49)),MATCH($BY49,INDIRECT("BU"&amp;CE48+1):$BU$34,0)+CE48,0)))</f>
        <v>0</v>
      </c>
      <c r="CF49" s="929">
        <f ca="1">IF(OR($BY49="",CC49&lt;&gt;0,CD49&lt;&gt;0,CE49&lt;&gt;0,ISERROR(MATCH($BY49,BT$11:BT$34,0))=TRUE),0,IF(OR(AND(COUNTIF(BT$11:BT$34,$BY49)=1,ISNA(MATCH(MATCH($BY49,$BT$11:$BT$34,0)+10,CF$38:CF48,0)=TRUE)),AND(COUNTIF(BT$11:BT$34,$BY49)&gt;=2,$BY49&lt;&gt;$BY48)),MATCH($BY49,BT$11:BT$34,0)+10,IF(AND(COUNTIF(BT$11:BT$34,$BY49)&gt;=2,COUNTIF(INDIRECT("CF$"&amp;MATCH($BY49,$BY$38:$BY49,0)+37):CF48,"&gt;0")&lt;COUNTIF(BT$11:BT$34,$BY49)),MATCH($BY49,INDIRECT("BT"&amp;CF48+1):$BT$34,0)+CF48,0)))</f>
        <v>0</v>
      </c>
      <c r="CG49" s="248"/>
      <c r="CH49" s="248">
        <f t="shared" si="132"/>
      </c>
      <c r="CI49" s="248"/>
      <c r="CJ49" s="61">
        <f t="shared" si="126"/>
      </c>
      <c r="CK49" s="33"/>
      <c r="CL49" s="33"/>
      <c r="CM49" s="248"/>
      <c r="CN49" s="248"/>
      <c r="CO49" s="248"/>
      <c r="CP49" s="61"/>
      <c r="CQ49" s="33"/>
      <c r="CR49" s="33"/>
      <c r="CS49" s="248"/>
      <c r="CT49" s="248"/>
      <c r="CU49" s="248"/>
      <c r="CV49" s="61"/>
      <c r="CW49" s="33"/>
      <c r="CX49" s="33"/>
      <c r="CY49" s="248"/>
      <c r="CZ49" s="248"/>
      <c r="DA49" s="248"/>
      <c r="DB49" s="61"/>
      <c r="DC49" s="33"/>
      <c r="DD49" s="33"/>
      <c r="DE49" s="248"/>
      <c r="DF49" s="248"/>
      <c r="DG49" s="248"/>
      <c r="DH49" s="61"/>
      <c r="DI49" s="33"/>
      <c r="DJ49" s="33"/>
      <c r="DK49" s="248"/>
      <c r="DL49" s="248"/>
      <c r="DM49" s="248"/>
      <c r="DN49" s="61"/>
      <c r="DO49" s="33"/>
      <c r="DP49" s="33"/>
      <c r="DQ49" s="248"/>
      <c r="DR49" s="248"/>
      <c r="DS49" s="248"/>
      <c r="DT49" s="61"/>
      <c r="DU49" s="33"/>
      <c r="DV49" s="33"/>
      <c r="DW49" s="248"/>
      <c r="DX49" s="248"/>
      <c r="DY49" s="248"/>
      <c r="DZ49" s="61"/>
      <c r="EA49" s="33"/>
      <c r="EB49" s="33"/>
      <c r="EC49" s="248"/>
      <c r="ED49" s="248"/>
      <c r="EE49" s="248"/>
      <c r="EF49" s="61"/>
      <c r="EG49" s="33"/>
      <c r="EH49" s="33"/>
      <c r="EI49" s="248"/>
      <c r="EJ49" s="248"/>
      <c r="EK49" s="248"/>
      <c r="EL49" s="61"/>
      <c r="EM49" s="61"/>
      <c r="EN49" s="33"/>
      <c r="EO49" s="33"/>
      <c r="EP49" s="248"/>
      <c r="EQ49" s="248"/>
      <c r="ER49" s="248"/>
      <c r="ES49" s="61"/>
      <c r="ET49" s="255" t="e">
        <f t="shared" si="127"/>
        <v>#NUM!</v>
      </c>
      <c r="EU49" s="33"/>
      <c r="EV49" s="33"/>
      <c r="EW49" s="33"/>
      <c r="EX49" s="33"/>
      <c r="EY49" s="33"/>
      <c r="EZ49" s="33"/>
      <c r="GE49" s="290"/>
      <c r="GJ49" s="1441"/>
      <c r="GK49" s="1441"/>
      <c r="GL49" s="1441"/>
      <c r="GM49" s="1441"/>
      <c r="GN49" s="1441"/>
      <c r="GO49" s="1441"/>
      <c r="GP49" s="1441"/>
      <c r="GQ49" s="1441"/>
      <c r="GR49" s="1441"/>
      <c r="GS49" s="1441"/>
      <c r="GT49" s="1441"/>
      <c r="GU49" s="430"/>
      <c r="GV49" s="430"/>
    </row>
    <row r="50" spans="1:217" s="36" customFormat="1" ht="22.5" customHeight="1" thickBot="1">
      <c r="A50" s="307"/>
      <c r="B50" s="307"/>
      <c r="C50" s="279"/>
      <c r="D50" s="254"/>
      <c r="E50" s="254"/>
      <c r="F50" s="254"/>
      <c r="G50" s="56"/>
      <c r="H50" s="254"/>
      <c r="I50" s="254"/>
      <c r="J50" s="56"/>
      <c r="K50" s="279"/>
      <c r="L50" s="254"/>
      <c r="M50" s="92"/>
      <c r="N50" s="254"/>
      <c r="O50" s="254"/>
      <c r="P50" s="430"/>
      <c r="Q50" s="279"/>
      <c r="R50" s="947"/>
      <c r="S50" s="320"/>
      <c r="T50" s="58"/>
      <c r="U50" s="58"/>
      <c r="V50" s="58"/>
      <c r="W50" s="246"/>
      <c r="X50" s="246"/>
      <c r="Y50" s="58"/>
      <c r="Z50" s="1438"/>
      <c r="AA50" s="254"/>
      <c r="AB50" s="430"/>
      <c r="AC50" s="279"/>
      <c r="AD50" s="272"/>
      <c r="AE50" s="272"/>
      <c r="AF50" s="58"/>
      <c r="AG50" s="279"/>
      <c r="AH50" s="279"/>
      <c r="AI50" s="279"/>
      <c r="AJ50" s="279"/>
      <c r="AK50" s="279"/>
      <c r="AL50" s="947"/>
      <c r="AM50" s="319"/>
      <c r="AN50" s="1022" t="s">
        <v>451</v>
      </c>
      <c r="AO50" s="1023">
        <f ca="1">IF(AO49="","",INDIRECT(LEFT(AO49,2)&amp;RIGHT(AO49,2)+6))</f>
      </c>
      <c r="AP50" s="1023">
        <f ca="1">IF(AP49="","",INDIRECT(LEFT(AP49,2)&amp;RIGHT(AP49,2)+6))</f>
      </c>
      <c r="AQ50" s="1023">
        <f aca="true" ca="1" t="shared" si="139" ref="AQ50:AV50">IF(AQ49="","",INDIRECT(LEFT(AQ49,2)&amp;RIGHT(AQ49,2)+6))</f>
      </c>
      <c r="AR50" s="1023">
        <f ca="1" t="shared" si="139"/>
      </c>
      <c r="AS50" s="1023">
        <f ca="1" t="shared" si="139"/>
      </c>
      <c r="AT50" s="1023">
        <f ca="1" t="shared" si="139"/>
      </c>
      <c r="AU50" s="1023">
        <f ca="1" t="shared" si="139"/>
      </c>
      <c r="AV50" s="1023">
        <f ca="1" t="shared" si="139"/>
      </c>
      <c r="AW50" s="37"/>
      <c r="AX50" s="44">
        <v>13</v>
      </c>
      <c r="AY50" s="61">
        <f t="shared" si="128"/>
        <v>0</v>
      </c>
      <c r="AZ50" s="61">
        <f ca="1">IF(AY50=0,"",IF(OR($AY50="",ISERROR(MATCH($AY50,$AO$44:$AV$44,0))=TRUE),0,IF(OR(AND(COUNTIF($AO$44:$AV$44,$AY50)=1,ISNA(MATCH(MATCH($AY50,$AO$44:$AV$44,0)+40,AZ$38:AZ49,0)=TRUE)),AND(COUNTIF($AO$44:$AV$44,$AY50)&gt;=2,$AY50&lt;&gt;$AY49)),MATCH($AY50,$AO$44:$AV$44,0)+40,IF(AND(COUNTIF($AO$44:$AV$44,$AY50)&gt;=2,COUNTIF(INDIRECT("AZ$"&amp;MATCH($AY50,$AY$38:$AY50,0)+37):AZ49,"&gt;0")&lt;COUNTIF($AO$44:$AV$44,$AY50)),AZ49+1,0))))</f>
      </c>
      <c r="BA50" s="61">
        <f ca="1">IF(AY50=0,"",IF(OR($AY50="",AZ50&lt;&gt;0,ISERROR(MATCH($AY50,$AO$45:$AV$45,0))=TRUE),0,IF(OR(AND(COUNTIF($AO$45:$AV$45,$AY50)=1,ISNA(MATCH(MATCH($AY50,$AO$45:$AV$45,0)+40,BA$38:BA49,0)=TRUE)),AND(COUNTIF($AO$45:$AV$45,$AY50)&gt;=2,$AY50&lt;&gt;$AY49)),MATCH($AY50,$AO$45:$AV$45,0)+40,IF(AND(COUNTIF($AO$45:$AV$45,$AY50)&gt;=2,COUNTIF(INDIRECT("BA$"&amp;MATCH($AY50,$AY$38:$AY50,0)+37):BA49,"&gt;0")&lt;COUNTIF($AO$45:$AV$45,$AY50),BA49&lt;&gt;0),MATCH($AY50,INDIRECT(ADDRESS(45,BA49+1,4)),0)+BA49,IF(BA49=0,MATCH($AY50,$AO$45:$AV$45,0)+40,0)))))</f>
      </c>
      <c r="BB50" s="44">
        <f ca="1" t="shared" si="124"/>
      </c>
      <c r="BC50" s="61">
        <f ca="1">IF(AY50=0,"",IF(AZ50=0,IF(INDIRECT(LEFT(BB50,2)&amp;RIGHT(BB50,2)+6)&gt;=MIN($BC$38:BC49),"",INDIRECT(LEFT(BB50,2)&amp;RIGHT(BB50,2)+6)),IF(INDIRECT(LEFT(BB50,2)&amp;RIGHT(BB50,2)+4)&gt;=MIN($BC$38:BC49),"",INDIRECT(LEFT(BB50,2)&amp;RIGHT(BB50,2)+4))))</f>
      </c>
      <c r="BD50" s="61">
        <f t="shared" si="129"/>
      </c>
      <c r="BE50" s="58"/>
      <c r="BF50" s="272"/>
      <c r="BG50" s="58"/>
      <c r="BH50" s="58"/>
      <c r="BI50" s="58"/>
      <c r="BJ50" s="58"/>
      <c r="BK50" s="58"/>
      <c r="BL50" s="390"/>
      <c r="BM50" s="430"/>
      <c r="BN50" s="430"/>
      <c r="BO50" s="37"/>
      <c r="BP50" s="37"/>
      <c r="BQ50" s="248"/>
      <c r="BR50" s="248"/>
      <c r="BS50" s="248"/>
      <c r="BT50" s="419"/>
      <c r="BU50" s="58"/>
      <c r="BV50" s="290"/>
      <c r="BW50" s="334"/>
      <c r="BX50" s="248"/>
      <c r="BY50" s="248"/>
      <c r="BZ50" s="37"/>
      <c r="CA50" s="58"/>
      <c r="CB50" s="58"/>
      <c r="CC50" s="58"/>
      <c r="CD50" s="37"/>
      <c r="CG50" s="58"/>
      <c r="CH50" s="58"/>
      <c r="CI50" s="58"/>
      <c r="CJ50" s="37"/>
      <c r="CM50" s="58"/>
      <c r="CN50" s="58"/>
      <c r="CO50" s="58"/>
      <c r="CP50" s="37"/>
      <c r="CS50" s="58"/>
      <c r="CT50" s="58"/>
      <c r="CU50" s="58"/>
      <c r="CV50" s="37"/>
      <c r="CY50" s="58"/>
      <c r="CZ50" s="58"/>
      <c r="DA50" s="58"/>
      <c r="DB50" s="37"/>
      <c r="DE50" s="58"/>
      <c r="DF50" s="58"/>
      <c r="DG50" s="58"/>
      <c r="DH50" s="37"/>
      <c r="DK50" s="58"/>
      <c r="DL50" s="58"/>
      <c r="DM50" s="58"/>
      <c r="DN50" s="37"/>
      <c r="DQ50" s="58"/>
      <c r="DR50" s="58"/>
      <c r="DS50" s="58"/>
      <c r="DT50" s="37"/>
      <c r="DW50" s="58"/>
      <c r="DX50" s="58"/>
      <c r="DY50" s="58"/>
      <c r="DZ50" s="37"/>
      <c r="EC50" s="58"/>
      <c r="ED50" s="58"/>
      <c r="EE50" s="58"/>
      <c r="EF50" s="37"/>
      <c r="EI50" s="58"/>
      <c r="EJ50" s="58"/>
      <c r="EK50" s="58"/>
      <c r="EL50" s="37"/>
      <c r="EM50" s="37"/>
      <c r="EP50" s="58"/>
      <c r="EQ50" s="58"/>
      <c r="ER50" s="58"/>
      <c r="ES50" s="37"/>
      <c r="ET50" s="255" t="e">
        <f t="shared" si="127"/>
        <v>#NUM!</v>
      </c>
      <c r="FA50" s="46"/>
      <c r="FB50" s="33"/>
      <c r="FE50" s="56"/>
      <c r="FF50" s="56"/>
      <c r="FG50" s="56"/>
      <c r="FH50" s="56"/>
      <c r="FI50" s="56"/>
      <c r="FJ50" s="56"/>
      <c r="FK50" s="56"/>
      <c r="FL50" s="56"/>
      <c r="FM50" s="56"/>
      <c r="FN50" s="56"/>
      <c r="FO50" s="56"/>
      <c r="FP50" s="56"/>
      <c r="FQ50" s="56"/>
      <c r="FR50" s="56"/>
      <c r="FS50" s="56"/>
      <c r="FT50" s="56"/>
      <c r="FU50" s="56"/>
      <c r="FV50" s="57"/>
      <c r="FY50" s="92"/>
      <c r="GE50" s="430"/>
      <c r="GF50" s="46"/>
      <c r="GI50" s="254"/>
      <c r="GJ50" s="58"/>
      <c r="GK50" s="58"/>
      <c r="HG50" s="33"/>
      <c r="HH50" s="33"/>
      <c r="HI50" s="33"/>
    </row>
    <row r="51" spans="1:220" ht="12.75">
      <c r="A51" s="307"/>
      <c r="B51" s="307"/>
      <c r="C51" s="290"/>
      <c r="D51" s="59"/>
      <c r="E51" s="59"/>
      <c r="F51" s="59"/>
      <c r="G51" s="60"/>
      <c r="H51" s="60"/>
      <c r="I51" s="290"/>
      <c r="J51" s="60"/>
      <c r="K51" s="327"/>
      <c r="L51" s="327"/>
      <c r="M51" s="290"/>
      <c r="N51" s="307"/>
      <c r="O51" s="307"/>
      <c r="P51" s="290"/>
      <c r="Q51" s="290"/>
      <c r="R51" s="290"/>
      <c r="S51" s="636"/>
      <c r="T51" s="637"/>
      <c r="U51" s="637"/>
      <c r="V51" s="637"/>
      <c r="W51" s="637"/>
      <c r="X51" s="248"/>
      <c r="Z51" s="290"/>
      <c r="AA51" s="290"/>
      <c r="AB51" s="290"/>
      <c r="AC51" s="248"/>
      <c r="AD51" s="248"/>
      <c r="AE51" s="248"/>
      <c r="AF51" s="248"/>
      <c r="AG51" s="248"/>
      <c r="AH51" s="248"/>
      <c r="AI51" s="248"/>
      <c r="AJ51" s="248"/>
      <c r="AK51" s="33"/>
      <c r="AL51" s="290"/>
      <c r="AM51" s="290"/>
      <c r="AN51" s="290"/>
      <c r="AO51" s="61"/>
      <c r="AP51" s="61"/>
      <c r="AQ51" s="61"/>
      <c r="AR51" s="61"/>
      <c r="AS51" s="61"/>
      <c r="AT51" s="61"/>
      <c r="AU51" s="61"/>
      <c r="AV51" s="61"/>
      <c r="AW51" s="61"/>
      <c r="AX51" s="44">
        <v>14</v>
      </c>
      <c r="AY51" s="61">
        <f t="shared" si="128"/>
        <v>0</v>
      </c>
      <c r="AZ51" s="61">
        <f ca="1">IF(AY51=0,"",IF(OR($AY51="",ISERROR(MATCH($AY51,$AO$44:$AV$44,0))=TRUE),0,IF(OR(AND(COUNTIF($AO$44:$AV$44,$AY51)=1,ISNA(MATCH(MATCH($AY51,$AO$44:$AV$44,0)+40,AZ$38:AZ50,0)=TRUE)),AND(COUNTIF($AO$44:$AV$44,$AY51)&gt;=2,$AY51&lt;&gt;$AY50)),MATCH($AY51,$AO$44:$AV$44,0)+40,IF(AND(COUNTIF($AO$44:$AV$44,$AY51)&gt;=2,COUNTIF(INDIRECT("AZ$"&amp;MATCH($AY51,$AY$38:$AY51,0)+37):AZ50,"&gt;0")&lt;COUNTIF($AO$44:$AV$44,$AY51)),AZ50+1,0))))</f>
      </c>
      <c r="BA51" s="61">
        <f ca="1">IF(AY51=0,"",IF(OR($AY51="",AZ51&lt;&gt;0,ISERROR(MATCH($AY51,$AO$45:$AV$45,0))=TRUE),0,IF(OR(AND(COUNTIF($AO$45:$AV$45,$AY51)=1,ISNA(MATCH(MATCH($AY51,$AO$45:$AV$45,0)+40,BA$38:BA50,0)=TRUE)),AND(COUNTIF($AO$45:$AV$45,$AY51)&gt;=2,$AY51&lt;&gt;$AY50)),MATCH($AY51,$AO$45:$AV$45,0)+40,IF(AND(COUNTIF($AO$45:$AV$45,$AY51)&gt;=2,COUNTIF(INDIRECT("BA$"&amp;MATCH($AY51,$AY$38:$AY51,0)+37):BA50,"&gt;0")&lt;COUNTIF($AO$45:$AV$45,$AY51),BA50&lt;&gt;0),MATCH($AY51,INDIRECT(ADDRESS(45,BA50+1,4)),0)+BA50,IF(BA50=0,MATCH($AY51,$AO$45:$AV$45,0)+40,0)))))</f>
      </c>
      <c r="BB51" s="44">
        <f ca="1" t="shared" si="124"/>
      </c>
      <c r="BC51" s="61">
        <f ca="1">IF(AY51=0,"",IF(AZ51=0,IF(INDIRECT(LEFT(BB51,2)&amp;RIGHT(BB51,2)+6)&gt;=MIN($BC$38:BC50),"",INDIRECT(LEFT(BB51,2)&amp;RIGHT(BB51,2)+6)),IF(INDIRECT(LEFT(BB51,2)&amp;RIGHT(BB51,2)+4)&gt;=MIN($BC$38:BC50),"",INDIRECT(LEFT(BB51,2)&amp;RIGHT(BB51,2)+4))))</f>
      </c>
      <c r="BD51" s="61">
        <f t="shared" si="129"/>
      </c>
      <c r="BE51" s="248"/>
      <c r="BF51" s="248"/>
      <c r="BG51" s="248"/>
      <c r="BH51" s="248"/>
      <c r="BI51" s="248"/>
      <c r="BJ51" s="248"/>
      <c r="BK51" s="248"/>
      <c r="BL51" s="255"/>
      <c r="BM51" s="248"/>
      <c r="BN51" s="636"/>
      <c r="BO51" s="61"/>
      <c r="BP51" s="61"/>
      <c r="BQ51" s="61"/>
      <c r="BR51" s="61"/>
      <c r="BS51" s="61"/>
      <c r="BT51" s="61"/>
      <c r="BU51" s="61"/>
      <c r="BV51" s="290"/>
      <c r="BW51" s="33"/>
      <c r="BX51" s="61"/>
      <c r="BY51" s="61"/>
      <c r="BZ51" s="61"/>
      <c r="CA51" s="61"/>
      <c r="CB51" s="61"/>
      <c r="CC51" s="61"/>
      <c r="CD51" s="61"/>
      <c r="CE51" s="33"/>
      <c r="CF51" s="33"/>
      <c r="CG51" s="61"/>
      <c r="CH51" s="61"/>
      <c r="CI51" s="61"/>
      <c r="CJ51" s="61"/>
      <c r="CK51" s="33"/>
      <c r="CL51" s="33"/>
      <c r="CM51" s="61"/>
      <c r="CN51" s="61"/>
      <c r="CO51" s="61"/>
      <c r="CP51" s="61"/>
      <c r="CQ51" s="33"/>
      <c r="CR51" s="33"/>
      <c r="CS51" s="61"/>
      <c r="CT51" s="61"/>
      <c r="CU51" s="61"/>
      <c r="CV51" s="61"/>
      <c r="CW51" s="33"/>
      <c r="CX51" s="33"/>
      <c r="CY51" s="61"/>
      <c r="CZ51" s="61"/>
      <c r="DA51" s="61"/>
      <c r="DB51" s="61"/>
      <c r="DC51" s="33"/>
      <c r="DD51" s="33"/>
      <c r="DE51" s="61"/>
      <c r="DF51" s="61"/>
      <c r="DG51" s="61"/>
      <c r="DH51" s="61"/>
      <c r="DI51" s="33"/>
      <c r="DJ51" s="33"/>
      <c r="DK51" s="61"/>
      <c r="DL51" s="61"/>
      <c r="DM51" s="61"/>
      <c r="DN51" s="61"/>
      <c r="DO51" s="33"/>
      <c r="DP51" s="33"/>
      <c r="DQ51" s="61"/>
      <c r="DR51" s="61"/>
      <c r="DS51" s="61"/>
      <c r="DT51" s="61"/>
      <c r="DU51" s="33"/>
      <c r="DV51" s="33"/>
      <c r="DW51" s="61"/>
      <c r="DX51" s="61"/>
      <c r="DY51" s="61"/>
      <c r="DZ51" s="61"/>
      <c r="EA51" s="33"/>
      <c r="EB51" s="33"/>
      <c r="EC51" s="61"/>
      <c r="ED51" s="61"/>
      <c r="EE51" s="61"/>
      <c r="EF51" s="61"/>
      <c r="EG51" s="33"/>
      <c r="EH51" s="33"/>
      <c r="EI51" s="61"/>
      <c r="EJ51" s="61"/>
      <c r="EK51" s="61"/>
      <c r="EL51" s="61"/>
      <c r="EM51" s="61"/>
      <c r="EN51" s="33"/>
      <c r="EO51" s="33"/>
      <c r="EP51" s="61"/>
      <c r="EQ51" s="61"/>
      <c r="ER51" s="61"/>
      <c r="ES51" s="61"/>
      <c r="ET51" s="325"/>
      <c r="EU51" s="33"/>
      <c r="EV51" s="33"/>
      <c r="EW51" s="33"/>
      <c r="EX51" s="33"/>
      <c r="EY51" s="33"/>
      <c r="EZ51" s="33"/>
      <c r="FC51" s="59"/>
      <c r="FD51" s="59"/>
      <c r="FE51" s="59"/>
      <c r="FF51" s="60"/>
      <c r="FG51" s="60"/>
      <c r="FH51" s="60"/>
      <c r="FI51" s="60"/>
      <c r="FJ51" s="60"/>
      <c r="FK51" s="60"/>
      <c r="FL51" s="60"/>
      <c r="FM51" s="60"/>
      <c r="FN51" s="60"/>
      <c r="FO51" s="60"/>
      <c r="FP51" s="60"/>
      <c r="FQ51" s="60"/>
      <c r="FR51" s="60"/>
      <c r="FS51" s="60"/>
      <c r="FT51" s="60"/>
      <c r="FU51" s="60"/>
      <c r="FV51" s="57"/>
      <c r="FZ51" s="307"/>
      <c r="GA51" s="46"/>
      <c r="GE51" s="636"/>
      <c r="GI51" s="290"/>
      <c r="GJ51" s="637"/>
      <c r="GK51" s="637"/>
      <c r="GL51" s="290"/>
      <c r="GM51" s="290"/>
      <c r="GN51" s="290"/>
      <c r="GO51" s="290"/>
      <c r="GP51" s="290"/>
      <c r="GQ51" s="290"/>
      <c r="GR51" s="290"/>
      <c r="GS51" s="290"/>
      <c r="GT51" s="290"/>
      <c r="HJ51" s="59"/>
      <c r="HK51" s="59"/>
      <c r="HL51" s="59"/>
    </row>
    <row r="52" spans="24:187" ht="12.75" customHeight="1">
      <c r="X52" s="248"/>
      <c r="Z52" s="33"/>
      <c r="AA52" s="33"/>
      <c r="AB52" s="33"/>
      <c r="AC52" s="248"/>
      <c r="AD52" s="248"/>
      <c r="AE52" s="248"/>
      <c r="AF52" s="248"/>
      <c r="AG52" s="859"/>
      <c r="AH52" s="248"/>
      <c r="AI52" s="248"/>
      <c r="AJ52" s="248"/>
      <c r="AK52" s="33"/>
      <c r="AL52" s="290"/>
      <c r="AM52" s="290"/>
      <c r="AN52" s="290"/>
      <c r="AO52" s="61"/>
      <c r="AP52" s="61"/>
      <c r="AQ52" s="61"/>
      <c r="AR52" s="61"/>
      <c r="AS52" s="61"/>
      <c r="AT52" s="61"/>
      <c r="AU52" s="61"/>
      <c r="AV52" s="61"/>
      <c r="AW52" s="61"/>
      <c r="AX52" s="44">
        <v>15</v>
      </c>
      <c r="AY52" s="61">
        <f t="shared" si="128"/>
        <v>0</v>
      </c>
      <c r="AZ52" s="61">
        <f ca="1">IF(AY52=0,"",IF(OR($AY52="",ISERROR(MATCH($AY52,$AO$44:$AV$44,0))=TRUE),0,IF(OR(AND(COUNTIF($AO$44:$AV$44,$AY52)=1,ISNA(MATCH(MATCH($AY52,$AO$44:$AV$44,0)+40,AZ$38:AZ51,0)=TRUE)),AND(COUNTIF($AO$44:$AV$44,$AY52)&gt;=2,$AY52&lt;&gt;$AY51)),MATCH($AY52,$AO$44:$AV$44,0)+40,IF(AND(COUNTIF($AO$44:$AV$44,$AY52)&gt;=2,COUNTIF(INDIRECT("AZ$"&amp;MATCH($AY52,$AY$38:$AY52,0)+37):AZ51,"&gt;0")&lt;COUNTIF($AO$44:$AV$44,$AY52)),AZ51+1,0))))</f>
      </c>
      <c r="BA52" s="61">
        <f ca="1">IF(AY52=0,"",IF(OR($AY52="",AZ52&lt;&gt;0,ISERROR(MATCH($AY52,$AO$45:$AV$45,0))=TRUE),0,IF(OR(AND(COUNTIF($AO$45:$AV$45,$AY52)=1,ISNA(MATCH(MATCH($AY52,$AO$45:$AV$45,0)+40,BA$38:BA51,0)=TRUE)),AND(COUNTIF($AO$45:$AV$45,$AY52)&gt;=2,$AY52&lt;&gt;$AY51)),MATCH($AY52,$AO$45:$AV$45,0)+40,IF(AND(COUNTIF($AO$45:$AV$45,$AY52)&gt;=2,COUNTIF(INDIRECT("BA$"&amp;MATCH($AY52,$AY$38:$AY52,0)+37):BA51,"&gt;0")&lt;COUNTIF($AO$45:$AV$45,$AY52),BA51&lt;&gt;0),MATCH($AY52,INDIRECT(ADDRESS(45,BA51+1,4)),0)+BA51,IF(BA51=0,MATCH($AY52,$AO$45:$AV$45,0)+40,0)))))</f>
      </c>
      <c r="BB52" s="44">
        <f ca="1" t="shared" si="124"/>
      </c>
      <c r="BC52" s="61">
        <f ca="1">IF(AY52=0,"",IF(AZ52=0,IF(INDIRECT(LEFT(BB52,2)&amp;RIGHT(BB52,2)+6)&gt;=MIN($BC$38:BC51),"",INDIRECT(LEFT(BB52,2)&amp;RIGHT(BB52,2)+6)),IF(INDIRECT(LEFT(BB52,2)&amp;RIGHT(BB52,2)+4)&gt;=MIN($BC$38:BC51),"",INDIRECT(LEFT(BB52,2)&amp;RIGHT(BB52,2)+4))))</f>
      </c>
      <c r="BD52" s="61">
        <f t="shared" si="129"/>
      </c>
      <c r="BE52" s="248"/>
      <c r="BF52" s="248"/>
      <c r="BG52" s="248"/>
      <c r="BH52" s="248"/>
      <c r="BI52" s="248"/>
      <c r="BJ52" s="248"/>
      <c r="BK52" s="248"/>
      <c r="BL52" s="255"/>
      <c r="BM52" s="248"/>
      <c r="BN52" s="248"/>
      <c r="BO52" s="61"/>
      <c r="BP52" s="61"/>
      <c r="BQ52" s="61"/>
      <c r="BR52" s="61"/>
      <c r="BS52" s="61"/>
      <c r="BT52" s="61"/>
      <c r="BU52" s="61"/>
      <c r="BV52" s="33"/>
      <c r="BW52" s="33"/>
      <c r="BX52" s="61"/>
      <c r="BY52" s="61"/>
      <c r="BZ52" s="61"/>
      <c r="CA52" s="61"/>
      <c r="CB52" s="61"/>
      <c r="CC52" s="61"/>
      <c r="CD52" s="61"/>
      <c r="CE52" s="33"/>
      <c r="CF52" s="33"/>
      <c r="CG52" s="61"/>
      <c r="CH52" s="61"/>
      <c r="CI52" s="61"/>
      <c r="CJ52" s="61"/>
      <c r="CK52" s="33"/>
      <c r="CL52" s="33"/>
      <c r="CM52" s="61"/>
      <c r="CN52" s="61"/>
      <c r="CO52" s="61"/>
      <c r="CP52" s="61"/>
      <c r="CQ52" s="33"/>
      <c r="CR52" s="33"/>
      <c r="CS52" s="61"/>
      <c r="CT52" s="61"/>
      <c r="CU52" s="61"/>
      <c r="CV52" s="61"/>
      <c r="CW52" s="33"/>
      <c r="CX52" s="33"/>
      <c r="CY52" s="61"/>
      <c r="CZ52" s="61"/>
      <c r="DA52" s="61"/>
      <c r="DB52" s="61"/>
      <c r="DC52" s="33"/>
      <c r="DD52" s="33"/>
      <c r="DE52" s="61"/>
      <c r="DF52" s="61"/>
      <c r="DG52" s="61"/>
      <c r="DH52" s="61"/>
      <c r="DI52" s="33"/>
      <c r="DJ52" s="33"/>
      <c r="DK52" s="61"/>
      <c r="DL52" s="61"/>
      <c r="DM52" s="61"/>
      <c r="DN52" s="61"/>
      <c r="DO52" s="33"/>
      <c r="DP52" s="33"/>
      <c r="DQ52" s="61"/>
      <c r="DR52" s="61"/>
      <c r="DS52" s="61"/>
      <c r="DT52" s="61"/>
      <c r="DU52" s="33"/>
      <c r="DV52" s="33"/>
      <c r="DW52" s="61"/>
      <c r="DX52" s="61"/>
      <c r="DY52" s="61"/>
      <c r="DZ52" s="61"/>
      <c r="EA52" s="33"/>
      <c r="EB52" s="33"/>
      <c r="EC52" s="61"/>
      <c r="ED52" s="61"/>
      <c r="EE52" s="61"/>
      <c r="EF52" s="61"/>
      <c r="EG52" s="33"/>
      <c r="EH52" s="33"/>
      <c r="EI52" s="61"/>
      <c r="EJ52" s="61"/>
      <c r="EK52" s="61"/>
      <c r="EL52" s="61"/>
      <c r="EM52" s="61"/>
      <c r="EN52" s="33"/>
      <c r="EO52" s="33"/>
      <c r="EP52" s="61"/>
      <c r="EQ52" s="61"/>
      <c r="ER52" s="61"/>
      <c r="ES52" s="61"/>
      <c r="ET52" s="325"/>
      <c r="EU52" s="33"/>
      <c r="EV52" s="33"/>
      <c r="EW52" s="33"/>
      <c r="EX52" s="33"/>
      <c r="EY52" s="33"/>
      <c r="EZ52" s="33"/>
      <c r="GE52" s="290"/>
    </row>
    <row r="53" spans="26:188" ht="12.75" customHeight="1">
      <c r="Z53" s="33"/>
      <c r="AA53" s="33"/>
      <c r="AB53" s="33"/>
      <c r="AC53" s="248"/>
      <c r="AD53" s="248"/>
      <c r="AE53" s="248"/>
      <c r="AF53" s="248"/>
      <c r="AG53" s="859"/>
      <c r="AH53" s="859"/>
      <c r="AI53" s="248"/>
      <c r="AJ53" s="248"/>
      <c r="AK53" s="33"/>
      <c r="AL53" s="33"/>
      <c r="AM53" s="33"/>
      <c r="AN53" s="33"/>
      <c r="AO53" s="61"/>
      <c r="AP53" s="61"/>
      <c r="AQ53" s="61"/>
      <c r="AR53" s="61"/>
      <c r="AS53" s="61"/>
      <c r="AT53" s="61"/>
      <c r="AU53" s="61"/>
      <c r="AV53" s="61"/>
      <c r="AW53" s="61"/>
      <c r="AX53" s="44">
        <v>16</v>
      </c>
      <c r="AY53" s="61">
        <f t="shared" si="128"/>
        <v>0</v>
      </c>
      <c r="AZ53" s="61">
        <f ca="1">IF(AY53=0,"",IF(OR($AY53="",ISERROR(MATCH($AY53,$AO$44:$AV$44,0))=TRUE),0,IF(OR(AND(COUNTIF($AO$44:$AV$44,$AY53)=1,ISNA(MATCH(MATCH($AY53,$AO$44:$AV$44,0)+40,AZ$38:AZ52,0)=TRUE)),AND(COUNTIF($AO$44:$AV$44,$AY53)&gt;=2,$AY53&lt;&gt;$AY52)),MATCH($AY53,$AO$44:$AV$44,0)+40,IF(AND(COUNTIF($AO$44:$AV$44,$AY53)&gt;=2,COUNTIF(INDIRECT("AZ$"&amp;MATCH($AY53,$AY$38:$AY53,0)+37):AZ52,"&gt;0")&lt;COUNTIF($AO$44:$AV$44,$AY53)),AZ52+1,0))))</f>
      </c>
      <c r="BA53" s="61">
        <f ca="1">IF(AY53=0,"",IF(OR($AY53="",AZ53&lt;&gt;0,ISERROR(MATCH($AY53,$AO$45:$AV$45,0))=TRUE),0,IF(OR(AND(COUNTIF($AO$45:$AV$45,$AY53)=1,ISNA(MATCH(MATCH($AY53,$AO$45:$AV$45,0)+40,BA$38:BA52,0)=TRUE)),AND(COUNTIF($AO$45:$AV$45,$AY53)&gt;=2,$AY53&lt;&gt;$AY52)),MATCH($AY53,$AO$45:$AV$45,0)+40,IF(AND(COUNTIF($AO$45:$AV$45,$AY53)&gt;=2,COUNTIF(INDIRECT("BA$"&amp;MATCH($AY53,$AY$38:$AY53,0)+37):BA52,"&gt;0")&lt;COUNTIF($AO$45:$AV$45,$AY53),BA52&lt;&gt;0),MATCH($AY53,INDIRECT(ADDRESS(45,BA52+1,4)),0)+BA52,IF(BA52=0,MATCH($AY53,$AO$45:$AV$45,0)+40,0)))))</f>
      </c>
      <c r="BB53" s="44">
        <f ca="1" t="shared" si="124"/>
      </c>
      <c r="BC53" s="61">
        <f ca="1">IF(AY53=0,"",IF(AZ53=0,IF(INDIRECT(LEFT(BB53,2)&amp;RIGHT(BB53,2)+6)&gt;=MIN($BC$38:BC52),"",INDIRECT(LEFT(BB53,2)&amp;RIGHT(BB53,2)+6)),IF(INDIRECT(LEFT(BB53,2)&amp;RIGHT(BB53,2)+4)&gt;=MIN($BC$38:BC52),"",INDIRECT(LEFT(BB53,2)&amp;RIGHT(BB53,2)+4))))</f>
      </c>
      <c r="BD53" s="61">
        <f t="shared" si="129"/>
      </c>
      <c r="BE53" s="248"/>
      <c r="BF53" s="248"/>
      <c r="BG53" s="248"/>
      <c r="BH53" s="248"/>
      <c r="BI53" s="248"/>
      <c r="BJ53" s="248"/>
      <c r="BK53" s="248"/>
      <c r="BL53" s="255"/>
      <c r="BM53" s="248"/>
      <c r="BN53" s="248"/>
      <c r="BO53" s="61"/>
      <c r="BP53" s="61"/>
      <c r="BQ53" s="61"/>
      <c r="BR53" s="61"/>
      <c r="BS53" s="61"/>
      <c r="BT53" s="61"/>
      <c r="BU53" s="61"/>
      <c r="BV53" s="33"/>
      <c r="BW53" s="33"/>
      <c r="BX53" s="33"/>
      <c r="BY53" s="61"/>
      <c r="BZ53" s="61"/>
      <c r="CA53" s="61"/>
      <c r="CB53" s="61"/>
      <c r="CC53" s="61"/>
      <c r="CD53" s="61"/>
      <c r="CE53" s="33"/>
      <c r="CF53" s="33"/>
      <c r="CG53" s="61"/>
      <c r="CH53" s="61"/>
      <c r="CI53" s="61"/>
      <c r="CJ53" s="61"/>
      <c r="CK53" s="33"/>
      <c r="CL53" s="33"/>
      <c r="CM53" s="61"/>
      <c r="CN53" s="61"/>
      <c r="CO53" s="61"/>
      <c r="CP53" s="61"/>
      <c r="CQ53" s="33"/>
      <c r="CR53" s="33"/>
      <c r="CS53" s="61"/>
      <c r="CT53" s="61"/>
      <c r="CU53" s="61"/>
      <c r="CV53" s="61"/>
      <c r="CW53" s="33"/>
      <c r="CX53" s="33"/>
      <c r="CY53" s="61"/>
      <c r="CZ53" s="61"/>
      <c r="DA53" s="61"/>
      <c r="DB53" s="61"/>
      <c r="DC53" s="33"/>
      <c r="DD53" s="33"/>
      <c r="DE53" s="61"/>
      <c r="DF53" s="61"/>
      <c r="DG53" s="61"/>
      <c r="DH53" s="61"/>
      <c r="DI53" s="33"/>
      <c r="DJ53" s="33"/>
      <c r="DK53" s="61"/>
      <c r="DL53" s="61"/>
      <c r="DM53" s="61"/>
      <c r="DN53" s="61"/>
      <c r="DO53" s="33"/>
      <c r="DP53" s="33"/>
      <c r="DQ53" s="61"/>
      <c r="DR53" s="61"/>
      <c r="DS53" s="61"/>
      <c r="DT53" s="61"/>
      <c r="DU53" s="33"/>
      <c r="DV53" s="33"/>
      <c r="DW53" s="61"/>
      <c r="DX53" s="61"/>
      <c r="DY53" s="61"/>
      <c r="DZ53" s="61"/>
      <c r="EA53" s="33"/>
      <c r="EB53" s="33"/>
      <c r="EC53" s="61"/>
      <c r="ED53" s="61"/>
      <c r="EE53" s="61"/>
      <c r="EF53" s="61"/>
      <c r="EG53" s="33"/>
      <c r="EH53" s="33"/>
      <c r="EI53" s="61"/>
      <c r="EJ53" s="61"/>
      <c r="EK53" s="61"/>
      <c r="EL53" s="61"/>
      <c r="EM53" s="61"/>
      <c r="EN53" s="33"/>
      <c r="EO53" s="33"/>
      <c r="EP53" s="61"/>
      <c r="EQ53" s="61"/>
      <c r="ER53" s="61"/>
      <c r="ES53" s="61"/>
      <c r="ET53" s="324"/>
      <c r="EU53" s="324"/>
      <c r="EV53" s="324"/>
      <c r="EW53" s="324"/>
      <c r="EX53" s="324"/>
      <c r="EY53" s="324"/>
      <c r="EZ53" s="324"/>
      <c r="FA53" s="324"/>
      <c r="FB53" s="324"/>
      <c r="FC53" s="324"/>
      <c r="FD53" s="324"/>
      <c r="FE53" s="324"/>
      <c r="FF53" s="324"/>
      <c r="FG53" s="324"/>
      <c r="FH53" s="324"/>
      <c r="FI53" s="324"/>
      <c r="FJ53" s="324"/>
      <c r="FK53" s="324"/>
      <c r="FL53" s="324"/>
      <c r="FM53" s="324"/>
      <c r="FN53" s="324"/>
      <c r="FO53" s="324"/>
      <c r="FP53" s="324"/>
      <c r="FQ53" s="324"/>
      <c r="FR53" s="324"/>
      <c r="FS53" s="324"/>
      <c r="FT53" s="324"/>
      <c r="FU53" s="324"/>
      <c r="FV53" s="324"/>
      <c r="FW53" s="324"/>
      <c r="FX53" s="324"/>
      <c r="FY53" s="324"/>
      <c r="FZ53" s="324"/>
      <c r="GA53" s="324"/>
      <c r="GB53" s="324"/>
      <c r="GC53" s="324"/>
      <c r="GD53" s="324"/>
      <c r="GE53" s="324"/>
      <c r="GF53" s="324"/>
    </row>
    <row r="54" spans="9:188" ht="12.75">
      <c r="I54" s="290"/>
      <c r="J54" s="290"/>
      <c r="K54" s="290"/>
      <c r="L54" s="290"/>
      <c r="M54" s="290"/>
      <c r="R54" s="290"/>
      <c r="Z54" s="33"/>
      <c r="AA54" s="33"/>
      <c r="AB54" s="33"/>
      <c r="AC54" s="248"/>
      <c r="AD54" s="248"/>
      <c r="AE54" s="248"/>
      <c r="AF54" s="248"/>
      <c r="AG54" s="859"/>
      <c r="AH54" s="859"/>
      <c r="AI54" s="248"/>
      <c r="AK54" s="33"/>
      <c r="AL54" s="33"/>
      <c r="AM54" s="33"/>
      <c r="AN54" s="33"/>
      <c r="AO54" s="61"/>
      <c r="AP54" s="61"/>
      <c r="AQ54" s="61"/>
      <c r="AR54" s="61"/>
      <c r="AS54" s="61"/>
      <c r="AT54" s="61"/>
      <c r="AU54" s="61"/>
      <c r="AV54" s="61"/>
      <c r="AW54" s="61"/>
      <c r="AX54" s="61"/>
      <c r="AY54" s="61"/>
      <c r="AZ54" s="61"/>
      <c r="BA54" s="61"/>
      <c r="BB54" s="61"/>
      <c r="BC54" s="61"/>
      <c r="BD54" s="248"/>
      <c r="BE54" s="248"/>
      <c r="BF54" s="334"/>
      <c r="BG54" s="336"/>
      <c r="BH54" s="248"/>
      <c r="BI54" s="248"/>
      <c r="BJ54" s="248"/>
      <c r="BK54" s="248"/>
      <c r="BL54" s="255"/>
      <c r="BM54" s="248"/>
      <c r="BN54" s="248"/>
      <c r="BO54" s="248"/>
      <c r="BP54" s="61"/>
      <c r="BQ54" s="61"/>
      <c r="BR54" s="61"/>
      <c r="BS54" s="61"/>
      <c r="BT54" s="61"/>
      <c r="BU54" s="61"/>
      <c r="BV54" s="33"/>
      <c r="BW54" s="33"/>
      <c r="BX54" s="33"/>
      <c r="BY54" s="33"/>
      <c r="BZ54" s="33"/>
      <c r="CA54" s="33"/>
      <c r="CB54" s="33"/>
      <c r="CC54" s="33"/>
      <c r="CD54" s="61"/>
      <c r="CE54" s="33"/>
      <c r="CF54" s="33"/>
      <c r="CG54" s="33"/>
      <c r="CH54" s="33"/>
      <c r="CI54" s="33"/>
      <c r="CJ54" s="61"/>
      <c r="CK54" s="33"/>
      <c r="CL54" s="33"/>
      <c r="CM54" s="33"/>
      <c r="CN54" s="33"/>
      <c r="CO54" s="33"/>
      <c r="CP54" s="61"/>
      <c r="CQ54" s="33"/>
      <c r="CR54" s="33"/>
      <c r="CS54" s="33"/>
      <c r="CT54" s="33"/>
      <c r="CU54" s="33"/>
      <c r="CV54" s="61"/>
      <c r="CW54" s="33"/>
      <c r="CX54" s="33"/>
      <c r="CY54" s="33"/>
      <c r="CZ54" s="33"/>
      <c r="DA54" s="33"/>
      <c r="DB54" s="61"/>
      <c r="DC54" s="33"/>
      <c r="DD54" s="33"/>
      <c r="DE54" s="33"/>
      <c r="DF54" s="33"/>
      <c r="DG54" s="33"/>
      <c r="DH54" s="61"/>
      <c r="DI54" s="33"/>
      <c r="DJ54" s="33"/>
      <c r="DK54" s="33"/>
      <c r="DL54" s="33"/>
      <c r="DM54" s="33"/>
      <c r="DN54" s="61"/>
      <c r="DO54" s="33"/>
      <c r="DP54" s="33"/>
      <c r="DQ54" s="33"/>
      <c r="DR54" s="33"/>
      <c r="DS54" s="33"/>
      <c r="DT54" s="61"/>
      <c r="DU54" s="33"/>
      <c r="DV54" s="33"/>
      <c r="DW54" s="33"/>
      <c r="DX54" s="33"/>
      <c r="DY54" s="33"/>
      <c r="DZ54" s="61"/>
      <c r="EA54" s="33"/>
      <c r="EB54" s="33"/>
      <c r="EC54" s="33"/>
      <c r="ED54" s="33"/>
      <c r="EE54" s="33"/>
      <c r="EF54" s="61"/>
      <c r="EG54" s="33"/>
      <c r="EH54" s="33"/>
      <c r="EI54" s="33"/>
      <c r="EJ54" s="33"/>
      <c r="EK54" s="33"/>
      <c r="EL54" s="61"/>
      <c r="EM54" s="61"/>
      <c r="EN54" s="33"/>
      <c r="EO54" s="33"/>
      <c r="EP54" s="33"/>
      <c r="EQ54" s="33"/>
      <c r="ER54" s="33"/>
      <c r="ES54" s="61"/>
      <c r="ET54" s="324"/>
      <c r="EU54" s="324"/>
      <c r="EV54" s="324"/>
      <c r="EW54" s="324"/>
      <c r="EX54" s="324"/>
      <c r="EY54" s="324"/>
      <c r="EZ54" s="324"/>
      <c r="FA54" s="324"/>
      <c r="FB54" s="324"/>
      <c r="FC54" s="324"/>
      <c r="FD54" s="324"/>
      <c r="FE54" s="324"/>
      <c r="FF54" s="324"/>
      <c r="FG54" s="324"/>
      <c r="FH54" s="324"/>
      <c r="FI54" s="324"/>
      <c r="FJ54" s="324"/>
      <c r="FK54" s="324"/>
      <c r="FL54" s="324"/>
      <c r="FM54" s="324"/>
      <c r="FN54" s="324"/>
      <c r="FO54" s="324"/>
      <c r="FP54" s="324"/>
      <c r="FQ54" s="324"/>
      <c r="FR54" s="324"/>
      <c r="FS54" s="324"/>
      <c r="FT54" s="324"/>
      <c r="FU54" s="324"/>
      <c r="FV54" s="324"/>
      <c r="FW54" s="324"/>
      <c r="FX54" s="324"/>
      <c r="FY54" s="324"/>
      <c r="FZ54" s="324"/>
      <c r="GA54" s="324"/>
      <c r="GB54" s="324"/>
      <c r="GC54" s="324"/>
      <c r="GD54" s="324"/>
      <c r="GE54" s="324"/>
      <c r="GF54" s="324"/>
    </row>
    <row r="55" spans="9:220" ht="12.75" customHeight="1">
      <c r="I55" s="334"/>
      <c r="J55" s="837"/>
      <c r="K55" s="837"/>
      <c r="L55" s="837"/>
      <c r="M55" s="837"/>
      <c r="R55" s="290"/>
      <c r="Z55" s="33"/>
      <c r="AA55" s="33"/>
      <c r="AB55" s="33"/>
      <c r="AC55" s="248"/>
      <c r="AD55" s="248"/>
      <c r="AE55" s="248"/>
      <c r="AF55" s="248"/>
      <c r="AG55" s="859"/>
      <c r="AH55" s="859"/>
      <c r="AI55" s="248"/>
      <c r="AK55" s="33"/>
      <c r="AL55" s="33"/>
      <c r="AM55" s="33"/>
      <c r="AN55" s="33"/>
      <c r="AO55" s="61"/>
      <c r="AP55" s="61"/>
      <c r="AQ55" s="61"/>
      <c r="AR55" s="61"/>
      <c r="AS55" s="61"/>
      <c r="AT55" s="61"/>
      <c r="AU55" s="61"/>
      <c r="AV55" s="61"/>
      <c r="AW55" s="61"/>
      <c r="AX55" s="61"/>
      <c r="AY55" s="61"/>
      <c r="AZ55" s="1028"/>
      <c r="BA55" s="61"/>
      <c r="BB55" s="61"/>
      <c r="BC55" s="61"/>
      <c r="BD55" s="248"/>
      <c r="BE55" s="248"/>
      <c r="BF55" s="248"/>
      <c r="BG55" s="248"/>
      <c r="BH55" s="248"/>
      <c r="BI55" s="248"/>
      <c r="BJ55" s="248"/>
      <c r="BK55" s="255"/>
      <c r="BL55" s="255"/>
      <c r="BM55" s="255"/>
      <c r="BN55" s="255"/>
      <c r="BO55" s="255"/>
      <c r="BP55" s="255"/>
      <c r="BQ55" s="255"/>
      <c r="BR55" s="255"/>
      <c r="BS55" s="255"/>
      <c r="BT55" s="255"/>
      <c r="BU55" s="255"/>
      <c r="BV55" s="324"/>
      <c r="BW55" s="324"/>
      <c r="BX55" s="324"/>
      <c r="BY55" s="324"/>
      <c r="BZ55" s="33"/>
      <c r="CA55" s="1439" t="s">
        <v>381</v>
      </c>
      <c r="CB55" s="1439"/>
      <c r="CC55" s="1439"/>
      <c r="CD55" s="1439"/>
      <c r="CE55" s="33"/>
      <c r="CF55" s="33"/>
      <c r="CG55" s="33"/>
      <c r="CH55" s="33"/>
      <c r="CI55" s="33"/>
      <c r="CJ55" s="61"/>
      <c r="CK55" s="33"/>
      <c r="CL55" s="33"/>
      <c r="CM55" s="33"/>
      <c r="CN55" s="382" t="s">
        <v>497</v>
      </c>
      <c r="CO55" s="1103" t="s">
        <v>494</v>
      </c>
      <c r="CP55" s="61"/>
      <c r="CQ55" s="33"/>
      <c r="CR55" s="33"/>
      <c r="CS55" s="33"/>
      <c r="CT55" s="33"/>
      <c r="CU55" s="33"/>
      <c r="CV55" s="61"/>
      <c r="CW55" s="33"/>
      <c r="CX55" s="33"/>
      <c r="CY55" s="33"/>
      <c r="CZ55" s="33"/>
      <c r="DA55" s="33"/>
      <c r="DB55" s="61"/>
      <c r="DC55" s="33"/>
      <c r="DD55" s="33"/>
      <c r="DE55" s="33"/>
      <c r="DF55" s="33"/>
      <c r="DG55" s="33"/>
      <c r="DH55" s="61"/>
      <c r="DI55" s="33"/>
      <c r="DJ55" s="33"/>
      <c r="DK55" s="33"/>
      <c r="DL55" s="33"/>
      <c r="DM55" s="33"/>
      <c r="DN55" s="61"/>
      <c r="DO55" s="33"/>
      <c r="DP55" s="33"/>
      <c r="DQ55" s="33"/>
      <c r="DR55" s="33"/>
      <c r="DS55" s="33"/>
      <c r="DT55" s="61"/>
      <c r="DU55" s="33"/>
      <c r="DV55" s="33"/>
      <c r="DW55" s="33"/>
      <c r="DX55" s="33"/>
      <c r="DY55" s="33"/>
      <c r="DZ55" s="61"/>
      <c r="EA55" s="33"/>
      <c r="EB55" s="33"/>
      <c r="EC55" s="33"/>
      <c r="ED55" s="33"/>
      <c r="EE55" s="33"/>
      <c r="EF55" s="61"/>
      <c r="EG55" s="33"/>
      <c r="EH55" s="33"/>
      <c r="EI55" s="33"/>
      <c r="EJ55" s="33"/>
      <c r="EK55" s="33"/>
      <c r="EL55" s="61"/>
      <c r="EM55" s="61"/>
      <c r="EN55" s="33"/>
      <c r="EO55" s="33"/>
      <c r="EP55" s="33"/>
      <c r="EQ55" s="33"/>
      <c r="ER55" s="33"/>
      <c r="ES55" s="61"/>
      <c r="ET55" s="324"/>
      <c r="EU55" s="324"/>
      <c r="EV55" s="324"/>
      <c r="EW55" s="324"/>
      <c r="EX55" s="324"/>
      <c r="EY55" s="324"/>
      <c r="EZ55" s="570"/>
      <c r="FA55" s="324"/>
      <c r="FB55" s="645"/>
      <c r="FC55" s="645"/>
      <c r="FD55" s="1042"/>
      <c r="FE55" s="1042"/>
      <c r="FF55" s="324"/>
      <c r="FG55" s="324"/>
      <c r="FH55" s="324"/>
      <c r="FI55" s="324"/>
      <c r="FJ55" s="324"/>
      <c r="FK55" s="324"/>
      <c r="FL55" s="324"/>
      <c r="FM55" s="324"/>
      <c r="FN55" s="324"/>
      <c r="FO55" s="324"/>
      <c r="FP55" s="324"/>
      <c r="FQ55" s="324"/>
      <c r="FR55" s="324"/>
      <c r="FS55" s="324"/>
      <c r="FT55" s="324"/>
      <c r="FU55" s="324"/>
      <c r="FV55" s="324"/>
      <c r="FW55" s="324"/>
      <c r="FX55" s="324"/>
      <c r="FY55" s="324"/>
      <c r="FZ55" s="324"/>
      <c r="GA55" s="324"/>
      <c r="GB55" s="324"/>
      <c r="GC55" s="324"/>
      <c r="GD55" s="324"/>
      <c r="GE55" s="324"/>
      <c r="GF55" s="324"/>
      <c r="HK55" s="246"/>
      <c r="HL55" s="246"/>
    </row>
    <row r="56" spans="9:222" ht="12.75">
      <c r="I56" s="290"/>
      <c r="J56" s="837"/>
      <c r="K56" s="837"/>
      <c r="L56" s="837"/>
      <c r="M56" s="837"/>
      <c r="R56" s="290"/>
      <c r="X56" s="248"/>
      <c r="Z56" s="33"/>
      <c r="AA56" s="33"/>
      <c r="AB56" s="33"/>
      <c r="AG56" s="859"/>
      <c r="AH56" s="859"/>
      <c r="AK56" s="33"/>
      <c r="AL56" s="33"/>
      <c r="AM56" s="33"/>
      <c r="AN56" s="33"/>
      <c r="AO56" s="86" t="s">
        <v>477</v>
      </c>
      <c r="AP56" s="61"/>
      <c r="AQ56" s="61"/>
      <c r="AR56" s="61"/>
      <c r="AS56" s="61"/>
      <c r="AT56" s="61"/>
      <c r="AU56" s="61"/>
      <c r="AV56" s="61"/>
      <c r="AW56" s="61"/>
      <c r="AX56" s="1082" t="s">
        <v>486</v>
      </c>
      <c r="AY56" s="1073"/>
      <c r="AZ56" s="1073"/>
      <c r="BA56" s="61"/>
      <c r="BB56" s="61"/>
      <c r="BC56" s="61"/>
      <c r="BD56" s="248"/>
      <c r="BE56" s="248"/>
      <c r="BF56" s="248"/>
      <c r="BG56" s="248"/>
      <c r="BH56" s="248"/>
      <c r="BI56" s="248"/>
      <c r="BJ56" s="248"/>
      <c r="BK56" s="255"/>
      <c r="BL56" s="255"/>
      <c r="BM56" s="255"/>
      <c r="BN56" s="255"/>
      <c r="BO56" s="255"/>
      <c r="BP56" s="255"/>
      <c r="BQ56" s="255"/>
      <c r="BR56" s="255"/>
      <c r="BS56" s="255"/>
      <c r="BT56" s="255"/>
      <c r="BU56" s="255"/>
      <c r="BV56" s="324"/>
      <c r="BW56" s="324"/>
      <c r="BX56" s="324"/>
      <c r="BY56" s="324"/>
      <c r="BZ56" s="33"/>
      <c r="CA56" s="33" t="s">
        <v>471</v>
      </c>
      <c r="CB56" s="33"/>
      <c r="CC56" s="33"/>
      <c r="CD56" s="33"/>
      <c r="CE56" s="33"/>
      <c r="CF56" s="33" t="s">
        <v>473</v>
      </c>
      <c r="CG56" s="33" t="s">
        <v>472</v>
      </c>
      <c r="CH56" s="33"/>
      <c r="CI56" s="33" t="s">
        <v>450</v>
      </c>
      <c r="CJ56" s="61"/>
      <c r="CK56" s="33"/>
      <c r="CL56" s="33"/>
      <c r="CM56" s="33"/>
      <c r="CN56" s="33"/>
      <c r="CO56" s="33"/>
      <c r="CP56" s="61"/>
      <c r="CQ56" s="33"/>
      <c r="CR56" s="33"/>
      <c r="CS56" s="33"/>
      <c r="CT56" s="33"/>
      <c r="CU56" s="33"/>
      <c r="CV56" s="61"/>
      <c r="CW56" s="33"/>
      <c r="CX56" s="33"/>
      <c r="CY56" s="33"/>
      <c r="CZ56" s="33"/>
      <c r="DA56" s="33"/>
      <c r="DB56" s="61"/>
      <c r="DC56" s="33"/>
      <c r="DD56" s="33"/>
      <c r="DE56" s="33"/>
      <c r="DF56" s="33"/>
      <c r="DG56" s="33"/>
      <c r="DH56" s="61"/>
      <c r="DI56" s="33"/>
      <c r="DJ56" s="33"/>
      <c r="DK56" s="33"/>
      <c r="DL56" s="33"/>
      <c r="DM56" s="33"/>
      <c r="DN56" s="61"/>
      <c r="DO56" s="33"/>
      <c r="DP56" s="33"/>
      <c r="DQ56" s="33"/>
      <c r="DR56" s="33"/>
      <c r="DS56" s="33"/>
      <c r="DT56" s="61"/>
      <c r="DU56" s="33"/>
      <c r="DV56" s="33"/>
      <c r="DW56" s="33"/>
      <c r="DX56" s="33"/>
      <c r="DY56" s="33"/>
      <c r="DZ56" s="61"/>
      <c r="EA56" s="33"/>
      <c r="EB56" s="33"/>
      <c r="EC56" s="33"/>
      <c r="ED56" s="33"/>
      <c r="EE56" s="33"/>
      <c r="EF56" s="61"/>
      <c r="EG56" s="33"/>
      <c r="EH56" s="33"/>
      <c r="EI56" s="33"/>
      <c r="EJ56" s="33"/>
      <c r="EK56" s="33"/>
      <c r="EL56" s="61"/>
      <c r="EM56" s="61"/>
      <c r="EN56" s="33"/>
      <c r="EO56" s="33"/>
      <c r="EP56" s="33"/>
      <c r="EQ56" s="33"/>
      <c r="ER56" s="33"/>
      <c r="ES56" s="61"/>
      <c r="ET56" s="324"/>
      <c r="EU56" s="324"/>
      <c r="EV56" s="324"/>
      <c r="EW56" s="324"/>
      <c r="EX56" s="324"/>
      <c r="EY56" s="324"/>
      <c r="EZ56" s="570"/>
      <c r="FA56" s="324"/>
      <c r="FB56" s="645"/>
      <c r="FC56" s="645"/>
      <c r="FD56" s="1042"/>
      <c r="FE56" s="1042"/>
      <c r="FF56" s="324"/>
      <c r="FG56" s="324"/>
      <c r="FH56" s="324"/>
      <c r="FI56" s="324"/>
      <c r="FJ56" s="324"/>
      <c r="FK56" s="324"/>
      <c r="FL56" s="324"/>
      <c r="FM56" s="324"/>
      <c r="FN56" s="324"/>
      <c r="FO56" s="324"/>
      <c r="FP56" s="324"/>
      <c r="FQ56" s="324"/>
      <c r="FR56" s="324"/>
      <c r="FS56" s="324"/>
      <c r="FT56" s="324"/>
      <c r="FU56" s="324"/>
      <c r="FV56" s="324"/>
      <c r="FW56" s="324"/>
      <c r="FX56" s="324"/>
      <c r="FY56" s="324"/>
      <c r="FZ56" s="324"/>
      <c r="GA56" s="324"/>
      <c r="GB56" s="324"/>
      <c r="GC56" s="324"/>
      <c r="GD56" s="324"/>
      <c r="GE56" s="324"/>
      <c r="GF56" s="324"/>
      <c r="GG56" s="324"/>
      <c r="GH56" s="324"/>
      <c r="GI56" s="324"/>
      <c r="GJ56" s="64"/>
      <c r="GK56" s="64"/>
      <c r="GL56" s="324"/>
      <c r="GM56" s="324"/>
      <c r="GN56" s="324"/>
      <c r="GO56" s="324"/>
      <c r="GP56" s="324"/>
      <c r="GQ56" s="324"/>
      <c r="GR56" s="324"/>
      <c r="GS56" s="324"/>
      <c r="GT56" s="324"/>
      <c r="GU56" s="324"/>
      <c r="GV56" s="324"/>
      <c r="GW56" s="324"/>
      <c r="GX56" s="324"/>
      <c r="GY56" s="324"/>
      <c r="GZ56" s="324"/>
      <c r="HA56" s="324"/>
      <c r="HB56" s="324"/>
      <c r="HC56" s="324"/>
      <c r="HD56" s="324"/>
      <c r="HE56" s="324"/>
      <c r="HF56" s="324"/>
      <c r="HG56" s="324"/>
      <c r="HH56" s="324"/>
      <c r="HI56" s="324"/>
      <c r="HJ56" s="324"/>
      <c r="HK56" s="651"/>
      <c r="HL56" s="651"/>
      <c r="HM56" s="324"/>
      <c r="HN56" s="324"/>
    </row>
    <row r="57" spans="9:222" ht="12.75">
      <c r="I57" s="290"/>
      <c r="J57" s="837"/>
      <c r="K57" s="837"/>
      <c r="L57" s="837"/>
      <c r="M57" s="837"/>
      <c r="R57" s="290"/>
      <c r="Z57" s="33"/>
      <c r="AA57" s="33"/>
      <c r="AB57" s="33"/>
      <c r="AI57" s="255"/>
      <c r="AJ57" s="255"/>
      <c r="AK57" s="324"/>
      <c r="AL57" s="324"/>
      <c r="AM57" s="656"/>
      <c r="AN57" s="324"/>
      <c r="AO57" s="255"/>
      <c r="AP57" s="1095"/>
      <c r="AQ57" s="1096"/>
      <c r="AR57" s="1090" t="s">
        <v>479</v>
      </c>
      <c r="AS57" s="255"/>
      <c r="AT57" s="595" t="s">
        <v>484</v>
      </c>
      <c r="AU57" s="255"/>
      <c r="AV57" s="255"/>
      <c r="AW57" s="255"/>
      <c r="AX57" s="1083"/>
      <c r="AY57" s="1085" t="s">
        <v>487</v>
      </c>
      <c r="AZ57" s="1065"/>
      <c r="BA57" s="1065"/>
      <c r="BB57" s="255"/>
      <c r="BC57" s="255"/>
      <c r="BD57" s="255"/>
      <c r="BE57" s="248"/>
      <c r="BF57" s="248"/>
      <c r="BG57" s="248"/>
      <c r="BH57" s="255"/>
      <c r="BI57" s="255"/>
      <c r="BJ57" s="255"/>
      <c r="BK57" s="255"/>
      <c r="BL57" s="255"/>
      <c r="BM57" s="255"/>
      <c r="BN57" s="255"/>
      <c r="BO57" s="255"/>
      <c r="BP57" s="255"/>
      <c r="BQ57" s="255"/>
      <c r="BR57" s="255"/>
      <c r="BS57" s="255"/>
      <c r="BT57" s="255"/>
      <c r="BU57" s="255"/>
      <c r="BV57" s="324"/>
      <c r="BW57" s="324"/>
      <c r="BX57" s="324"/>
      <c r="BY57" s="324"/>
      <c r="BZ57" s="324"/>
      <c r="CA57" s="33">
        <f>IF(COUNT(CA62:CA82)=0,99,MIN(CA62:CA82))</f>
        <v>99</v>
      </c>
      <c r="CB57" s="33">
        <f>IF(COUNT(CB62:CB82)=0,99,MIN(CB62:CB82))</f>
        <v>99</v>
      </c>
      <c r="CC57" s="33">
        <f>IF(COUNT(CC62:CC82)=0,99,MIN(CC62:CC82))</f>
        <v>99</v>
      </c>
      <c r="CD57" s="33">
        <f>IF(COUNT(CD62:CD82)=0,99,MIN(CD62:CD82))</f>
        <v>99</v>
      </c>
      <c r="CE57" s="33"/>
      <c r="CF57" s="33">
        <f>MIN(CA57:CD57)</f>
        <v>99</v>
      </c>
      <c r="CG57" s="33">
        <f>MATCH(CF57,CA57:CD57,0)+COLUMN(BZ57)</f>
        <v>79</v>
      </c>
      <c r="CH57" s="33"/>
      <c r="CI57" s="33">
        <f>IF(OR(CG59="",COUNTIF(H32:K32,"")=4),"",ADDRESS(VALUE(CG59)+60,VALUE(CG57),4))</f>
      </c>
      <c r="CJ57" s="61"/>
      <c r="CK57" s="33"/>
      <c r="CL57" s="33"/>
      <c r="CM57" s="33"/>
      <c r="CN57" s="33"/>
      <c r="CO57" s="33"/>
      <c r="CP57" s="61"/>
      <c r="CQ57" s="33"/>
      <c r="CR57" s="33"/>
      <c r="CS57" s="33"/>
      <c r="CT57" s="33"/>
      <c r="CU57" s="33"/>
      <c r="CV57" s="61"/>
      <c r="CW57" s="33"/>
      <c r="CX57" s="33"/>
      <c r="CY57" s="33"/>
      <c r="CZ57" s="33"/>
      <c r="DA57" s="33"/>
      <c r="DB57" s="61"/>
      <c r="DC57" s="33"/>
      <c r="DD57" s="33"/>
      <c r="DE57" s="64" t="s">
        <v>64</v>
      </c>
      <c r="DF57" s="64" t="s">
        <v>65</v>
      </c>
      <c r="DG57" s="33"/>
      <c r="DH57" s="61"/>
      <c r="DI57" s="33"/>
      <c r="DJ57" s="33"/>
      <c r="DK57" s="33"/>
      <c r="DL57" s="33"/>
      <c r="DM57" s="33"/>
      <c r="DN57" s="61"/>
      <c r="DO57" s="33"/>
      <c r="DP57" s="33"/>
      <c r="DQ57" s="33"/>
      <c r="DR57" s="33"/>
      <c r="DS57" s="33"/>
      <c r="DT57" s="61"/>
      <c r="DU57" s="33"/>
      <c r="DV57" s="33"/>
      <c r="DW57" s="33"/>
      <c r="DX57" s="33"/>
      <c r="DY57" s="33"/>
      <c r="DZ57" s="61"/>
      <c r="EA57" s="33"/>
      <c r="EB57" s="33"/>
      <c r="EC57" s="33"/>
      <c r="ED57" s="33"/>
      <c r="EE57" s="33"/>
      <c r="EF57" s="61"/>
      <c r="EG57" s="33"/>
      <c r="EH57" s="33"/>
      <c r="EI57" s="33"/>
      <c r="EJ57" s="33"/>
      <c r="EK57" s="33"/>
      <c r="EL57" s="61"/>
      <c r="EM57" s="61"/>
      <c r="EN57" s="33"/>
      <c r="EO57" s="33"/>
      <c r="EP57" s="33"/>
      <c r="EQ57" s="33"/>
      <c r="ER57" s="33"/>
      <c r="ES57" s="61"/>
      <c r="ET57" s="324"/>
      <c r="EU57" s="324"/>
      <c r="EV57" s="324"/>
      <c r="EW57" s="324"/>
      <c r="EX57" s="324"/>
      <c r="EY57" s="324"/>
      <c r="EZ57" s="570"/>
      <c r="FA57" s="324"/>
      <c r="FB57" s="645"/>
      <c r="FC57" s="645"/>
      <c r="FD57" s="1042"/>
      <c r="FE57" s="1042"/>
      <c r="FF57" s="570"/>
      <c r="FG57" s="324"/>
      <c r="FH57" s="324"/>
      <c r="FI57" s="324"/>
      <c r="FJ57" s="324"/>
      <c r="FK57" s="324"/>
      <c r="FL57" s="324"/>
      <c r="FM57" s="324"/>
      <c r="FN57" s="324"/>
      <c r="FO57" s="324"/>
      <c r="FP57" s="324"/>
      <c r="FQ57" s="324"/>
      <c r="FR57" s="324"/>
      <c r="FS57" s="324"/>
      <c r="FT57" s="324"/>
      <c r="FU57" s="324"/>
      <c r="FV57" s="324"/>
      <c r="FW57" s="324"/>
      <c r="FX57" s="324"/>
      <c r="FY57" s="324"/>
      <c r="FZ57" s="324"/>
      <c r="GA57" s="324"/>
      <c r="GB57" s="324"/>
      <c r="GC57" s="324"/>
      <c r="GD57" s="324"/>
      <c r="GE57" s="324"/>
      <c r="GF57" s="324"/>
      <c r="GG57" s="324"/>
      <c r="GH57" s="324"/>
      <c r="GI57" s="324"/>
      <c r="GJ57" s="64"/>
      <c r="GK57" s="64"/>
      <c r="GL57" s="324"/>
      <c r="GM57" s="324"/>
      <c r="GN57" s="324"/>
      <c r="GO57" s="324"/>
      <c r="GP57" s="324"/>
      <c r="GQ57" s="324"/>
      <c r="GR57" s="324"/>
      <c r="GS57" s="324"/>
      <c r="GT57" s="324"/>
      <c r="GU57" s="324"/>
      <c r="GV57" s="324"/>
      <c r="GW57" s="324"/>
      <c r="GX57" s="324"/>
      <c r="GY57" s="324"/>
      <c r="GZ57" s="324"/>
      <c r="HA57" s="324"/>
      <c r="HB57" s="324"/>
      <c r="HC57" s="324"/>
      <c r="HD57" s="324"/>
      <c r="HE57" s="324"/>
      <c r="HF57" s="324"/>
      <c r="HG57" s="324"/>
      <c r="HH57" s="324"/>
      <c r="HI57" s="324"/>
      <c r="HJ57" s="324"/>
      <c r="HK57" s="651"/>
      <c r="HL57" s="651"/>
      <c r="HM57" s="324"/>
      <c r="HN57" s="324"/>
    </row>
    <row r="58" spans="9:222" ht="12.75">
      <c r="I58" s="290"/>
      <c r="J58" s="290"/>
      <c r="K58" s="290"/>
      <c r="L58" s="290"/>
      <c r="M58" s="290"/>
      <c r="X58" s="272"/>
      <c r="AI58" s="255"/>
      <c r="AJ58" s="255"/>
      <c r="AK58" s="570"/>
      <c r="AL58" s="570"/>
      <c r="AM58" s="570"/>
      <c r="AN58" s="1089" t="s">
        <v>480</v>
      </c>
      <c r="AO58" s="391" t="s">
        <v>488</v>
      </c>
      <c r="AP58" s="1074" t="s">
        <v>489</v>
      </c>
      <c r="AQ58" s="1080" t="s">
        <v>481</v>
      </c>
      <c r="AR58" s="1074" t="s">
        <v>482</v>
      </c>
      <c r="AS58" s="568" t="s">
        <v>483</v>
      </c>
      <c r="AT58" s="44">
        <v>1</v>
      </c>
      <c r="AU58" s="391">
        <v>2</v>
      </c>
      <c r="AV58" s="391">
        <v>3</v>
      </c>
      <c r="AW58" s="391"/>
      <c r="AX58" s="1084">
        <f>CU40</f>
        <v>0</v>
      </c>
      <c r="AY58" s="1086">
        <f>CW38</f>
        <v>0</v>
      </c>
      <c r="AZ58" s="1097" t="s">
        <v>491</v>
      </c>
      <c r="BA58" s="391"/>
      <c r="BB58" s="391"/>
      <c r="BC58" s="391"/>
      <c r="BD58" s="391"/>
      <c r="BE58" s="391"/>
      <c r="BF58" s="391"/>
      <c r="BG58" s="391"/>
      <c r="BH58" s="391"/>
      <c r="BI58" s="391"/>
      <c r="BJ58" s="391"/>
      <c r="BK58" s="391"/>
      <c r="BM58" s="391"/>
      <c r="BN58" s="391"/>
      <c r="BO58" s="391"/>
      <c r="BP58" s="391"/>
      <c r="BQ58" s="391"/>
      <c r="BR58" s="391"/>
      <c r="BS58" s="391"/>
      <c r="BT58" s="569"/>
      <c r="BU58" s="391"/>
      <c r="BV58" s="570"/>
      <c r="BW58" s="570"/>
      <c r="BX58" s="570"/>
      <c r="BY58" s="570"/>
      <c r="BZ58" s="570"/>
      <c r="CA58" s="33">
        <f>IF(ISNA(MATCH(CA57,CA62:CA82,0))=TRUE,"",MATCH(CA57,CA62:CA82,0))</f>
      </c>
      <c r="CB58" s="33">
        <f>IF(ISNA(MATCH(CB57,CB62:CB82,0))=TRUE,"",MATCH(CB57,CB62:CB82,0))</f>
      </c>
      <c r="CC58" s="33">
        <f>IF(ISNA(MATCH(CC57,CC62:CC82,0))=TRUE,"",MATCH(CC57,CC62:CC82,0))</f>
      </c>
      <c r="CD58" s="33">
        <f>IF(ISNA(MATCH(CD57,CD62:CD82,0))=TRUE,"",MATCH(CD57,CD62:CD82,0))</f>
      </c>
      <c r="CG58" s="61" t="s">
        <v>452</v>
      </c>
      <c r="CH58" s="61"/>
      <c r="CI58" s="61"/>
      <c r="CM58" s="673"/>
      <c r="CN58" s="33"/>
      <c r="CO58" s="799" t="s">
        <v>17</v>
      </c>
      <c r="CP58" s="800"/>
      <c r="CQ58" s="1491" t="s">
        <v>176</v>
      </c>
      <c r="CR58" s="1492"/>
      <c r="CS58" s="1493" t="s">
        <v>175</v>
      </c>
      <c r="CT58" s="1493"/>
      <c r="CU58" s="1493"/>
      <c r="CV58" s="1494"/>
      <c r="CW58" s="1471" t="s">
        <v>19</v>
      </c>
      <c r="CX58" s="1472"/>
      <c r="CY58" s="1472"/>
      <c r="CZ58" s="39"/>
      <c r="DA58" s="646"/>
      <c r="DB58" s="646"/>
      <c r="DC58" s="646"/>
      <c r="DD58" s="33"/>
      <c r="DE58" s="64"/>
      <c r="DF58" s="64"/>
      <c r="ET58" s="570"/>
      <c r="EU58" s="570"/>
      <c r="EV58" s="570"/>
      <c r="EW58" s="570"/>
      <c r="EX58" s="570"/>
      <c r="EY58" s="570"/>
      <c r="EZ58" s="570"/>
      <c r="FA58" s="570"/>
      <c r="FB58" s="255"/>
      <c r="FC58" s="324"/>
      <c r="FD58" s="324"/>
      <c r="FE58" s="324"/>
      <c r="FF58" s="568"/>
      <c r="FG58" s="570"/>
      <c r="FH58" s="570"/>
      <c r="FI58" s="570"/>
      <c r="FJ58" s="570"/>
      <c r="FK58" s="324"/>
      <c r="FL58" s="324"/>
      <c r="FM58" s="324"/>
      <c r="FN58" s="324"/>
      <c r="FO58" s="324"/>
      <c r="FP58" s="324"/>
      <c r="FQ58" s="324"/>
      <c r="FR58" s="324"/>
      <c r="FS58" s="324"/>
      <c r="FT58" s="324"/>
      <c r="FU58" s="324"/>
      <c r="FV58" s="324"/>
      <c r="FW58" s="324"/>
      <c r="FX58" s="324"/>
      <c r="FY58" s="324"/>
      <c r="FZ58" s="324"/>
      <c r="GA58" s="324"/>
      <c r="GB58" s="324"/>
      <c r="GC58" s="324"/>
      <c r="GD58" s="324"/>
      <c r="GE58" s="324"/>
      <c r="GF58" s="324"/>
      <c r="GG58" s="324"/>
      <c r="GH58" s="324"/>
      <c r="GI58" s="324"/>
      <c r="GJ58" s="64"/>
      <c r="GK58" s="64"/>
      <c r="GL58" s="324"/>
      <c r="GM58" s="324"/>
      <c r="GN58" s="324"/>
      <c r="GO58" s="324"/>
      <c r="GP58" s="324"/>
      <c r="GQ58" s="324"/>
      <c r="GR58" s="324"/>
      <c r="GS58" s="324"/>
      <c r="GT58" s="324"/>
      <c r="GU58" s="324"/>
      <c r="GV58" s="324"/>
      <c r="GW58" s="324"/>
      <c r="GX58" s="324"/>
      <c r="GY58" s="324"/>
      <c r="GZ58" s="324"/>
      <c r="HA58" s="324"/>
      <c r="HB58" s="324"/>
      <c r="HC58" s="324"/>
      <c r="HD58" s="324"/>
      <c r="HE58" s="324"/>
      <c r="HF58" s="324"/>
      <c r="HG58" s="255"/>
      <c r="HH58" s="255"/>
      <c r="HI58" s="255"/>
      <c r="HJ58" s="324"/>
      <c r="HK58" s="324"/>
      <c r="HL58" s="324"/>
      <c r="HM58" s="324"/>
      <c r="HN58" s="324"/>
    </row>
    <row r="59" spans="9:222" ht="12.75">
      <c r="I59" s="290"/>
      <c r="J59" s="290"/>
      <c r="K59" s="290"/>
      <c r="L59" s="290"/>
      <c r="M59" s="290"/>
      <c r="W59" s="64"/>
      <c r="X59" s="255"/>
      <c r="Y59" s="64"/>
      <c r="Z59" s="570"/>
      <c r="AA59" s="570"/>
      <c r="AB59" s="570"/>
      <c r="AC59" s="255"/>
      <c r="AD59" s="255"/>
      <c r="AE59" s="255"/>
      <c r="AF59" s="255"/>
      <c r="AG59" s="255"/>
      <c r="AH59" s="255"/>
      <c r="AI59" s="569"/>
      <c r="AJ59" s="391"/>
      <c r="AK59" s="570"/>
      <c r="AL59" s="1076" t="e">
        <f ca="1">INDIRECT("Z"&amp;AN59)</f>
        <v>#REF!</v>
      </c>
      <c r="AM59" s="1076" t="s">
        <v>390</v>
      </c>
      <c r="AN59" s="1087">
        <f>A14</f>
      </c>
      <c r="AO59" s="1086">
        <f ca="1">SUM(INDIRECT("H"&amp;AN59&amp;":K"&amp;AN59))</f>
        <v>0</v>
      </c>
      <c r="AP59" s="1088">
        <f ca="1">SUM(INDIRECT("J"&amp;AN59&amp;":K"&amp;AN59))</f>
        <v>0</v>
      </c>
      <c r="AQ59" s="1079" t="e">
        <f>AO59-AO60</f>
        <v>#VALUE!</v>
      </c>
      <c r="AR59" s="1091">
        <f>IF(AL61="","",AO59-AO61)</f>
      </c>
      <c r="AS59" s="1448"/>
      <c r="AT59" s="1081">
        <f ca="1">LARGE(INDIRECT("H"&amp;AN59&amp;":K"&amp;AN59),$AT$58)</f>
        <v>0</v>
      </c>
      <c r="AU59" s="1081">
        <f ca="1">LARGE(INDIRECT("H"&amp;AN59&amp;":K"&amp;AN59),$AU$58)</f>
        <v>0</v>
      </c>
      <c r="AV59" s="1081">
        <f ca="1">LARGE(INDIRECT("H"&amp;AN59&amp;":K"&amp;AN59),$AV$58)</f>
        <v>0</v>
      </c>
      <c r="AW59" s="570"/>
      <c r="AX59" s="391"/>
      <c r="AY59" s="391"/>
      <c r="AZ59" s="1098" t="e">
        <f ca="1">IF(AL59="","",MAX(INDIRECT("J"&amp;AN59&amp;":K"&amp;AN59)))</f>
        <v>#REF!</v>
      </c>
      <c r="BA59" s="569"/>
      <c r="BB59" s="391"/>
      <c r="BC59" s="391"/>
      <c r="BD59" s="391"/>
      <c r="BE59" s="391"/>
      <c r="BF59" s="391"/>
      <c r="BG59" s="391"/>
      <c r="BH59" s="391"/>
      <c r="BI59" s="391"/>
      <c r="BJ59" s="391"/>
      <c r="BK59" s="1099"/>
      <c r="BL59" s="1099"/>
      <c r="BM59" s="1099">
        <v>5</v>
      </c>
      <c r="BN59" s="1099">
        <v>6</v>
      </c>
      <c r="BO59" s="1099">
        <v>7</v>
      </c>
      <c r="BP59" s="1099">
        <v>8</v>
      </c>
      <c r="BQ59" s="391"/>
      <c r="BR59" s="391"/>
      <c r="BS59" s="391"/>
      <c r="BT59" s="391"/>
      <c r="BU59" s="391"/>
      <c r="BV59" s="570"/>
      <c r="BW59" s="570"/>
      <c r="BX59" s="570"/>
      <c r="BY59" s="570"/>
      <c r="BZ59" s="570"/>
      <c r="CA59" s="570"/>
      <c r="CF59" s="33"/>
      <c r="CG59" s="33">
        <f>HLOOKUP(CF57,CA57:CD58,2,FALSE)</f>
      </c>
      <c r="CH59" s="33"/>
      <c r="CI59" s="33"/>
      <c r="CM59" s="676"/>
      <c r="CN59" s="676"/>
      <c r="CO59" s="1473" t="s">
        <v>22</v>
      </c>
      <c r="CP59" s="1475" t="s">
        <v>21</v>
      </c>
      <c r="CQ59" s="1477" t="s">
        <v>23</v>
      </c>
      <c r="CR59" s="1478"/>
      <c r="CS59" s="1479" t="s">
        <v>24</v>
      </c>
      <c r="CT59" s="1479"/>
      <c r="CU59" s="1480" t="s">
        <v>25</v>
      </c>
      <c r="CV59" s="1481"/>
      <c r="CW59" s="294" t="s">
        <v>26</v>
      </c>
      <c r="CX59" s="1482" t="s">
        <v>66</v>
      </c>
      <c r="CY59" s="1482"/>
      <c r="CZ59" s="39"/>
      <c r="DA59" s="646"/>
      <c r="DB59" s="646"/>
      <c r="DC59" s="646"/>
      <c r="DD59" s="33"/>
      <c r="DE59" s="64"/>
      <c r="DF59" s="64"/>
      <c r="ET59" s="570"/>
      <c r="EU59" s="570"/>
      <c r="EV59" s="570"/>
      <c r="EW59" s="570"/>
      <c r="EX59" s="570"/>
      <c r="EY59" s="570"/>
      <c r="EZ59" s="570"/>
      <c r="FA59" s="568"/>
      <c r="FB59" s="570"/>
      <c r="FC59" s="570"/>
      <c r="FD59" s="570"/>
      <c r="FE59" s="570"/>
      <c r="FF59" s="570"/>
      <c r="FG59" s="570"/>
      <c r="FH59" s="570"/>
      <c r="FI59" s="570"/>
      <c r="FJ59" s="570"/>
      <c r="FK59" s="324"/>
      <c r="FL59" s="324"/>
      <c r="FM59" s="324"/>
      <c r="FN59" s="324"/>
      <c r="FO59" s="324"/>
      <c r="FP59" s="324"/>
      <c r="FQ59" s="324"/>
      <c r="FR59" s="324"/>
      <c r="FS59" s="324"/>
      <c r="FT59" s="324"/>
      <c r="FU59" s="324"/>
      <c r="FV59" s="324"/>
      <c r="FW59" s="324"/>
      <c r="FX59" s="324"/>
      <c r="FY59" s="324"/>
      <c r="FZ59" s="324"/>
      <c r="GA59" s="324"/>
      <c r="GB59" s="324"/>
      <c r="GC59" s="324"/>
      <c r="GD59" s="324"/>
      <c r="GE59" s="324"/>
      <c r="GF59" s="324"/>
      <c r="GG59" s="324"/>
      <c r="GH59" s="324"/>
      <c r="GI59" s="324"/>
      <c r="GJ59" s="64"/>
      <c r="GK59" s="64"/>
      <c r="GL59" s="324"/>
      <c r="GM59" s="324"/>
      <c r="GN59" s="324"/>
      <c r="GO59" s="324"/>
      <c r="GP59" s="324"/>
      <c r="GQ59" s="324"/>
      <c r="GR59" s="324"/>
      <c r="GS59" s="324"/>
      <c r="GT59" s="324"/>
      <c r="GU59" s="324"/>
      <c r="GV59" s="324"/>
      <c r="GW59" s="324"/>
      <c r="GX59" s="324"/>
      <c r="GY59" s="324"/>
      <c r="GZ59" s="324"/>
      <c r="HA59" s="324"/>
      <c r="HB59" s="324"/>
      <c r="HC59" s="324"/>
      <c r="HD59" s="324"/>
      <c r="HE59" s="324"/>
      <c r="HF59" s="324"/>
      <c r="HG59" s="570"/>
      <c r="HH59" s="570"/>
      <c r="HI59" s="570"/>
      <c r="HJ59" s="570"/>
      <c r="HK59" s="570"/>
      <c r="HL59" s="570"/>
      <c r="HM59" s="324"/>
      <c r="HN59" s="324"/>
    </row>
    <row r="60" spans="23:222" ht="13.5" thickBot="1">
      <c r="W60" s="64"/>
      <c r="X60" s="255"/>
      <c r="Y60" s="255"/>
      <c r="Z60" s="570"/>
      <c r="AA60" s="570"/>
      <c r="AB60" s="570"/>
      <c r="AC60" s="255"/>
      <c r="AD60" s="255"/>
      <c r="AE60" s="255"/>
      <c r="AF60" s="255"/>
      <c r="AG60" s="255"/>
      <c r="AH60" s="255"/>
      <c r="AI60" s="391"/>
      <c r="AJ60" s="391"/>
      <c r="AK60" s="570"/>
      <c r="AL60" s="1076">
        <f ca="1">IF(AN60="","",INDIRECT("Z"&amp;AN60))</f>
      </c>
      <c r="AM60" s="1076" t="s">
        <v>391</v>
      </c>
      <c r="AN60" s="1087">
        <f>B14</f>
        <v>13</v>
      </c>
      <c r="AO60" s="1086">
        <f ca="1">IF(AL60="","",SUM(INDIRECT("H"&amp;AN60&amp;":K"&amp;AN60)))</f>
      </c>
      <c r="AP60" s="1088">
        <f ca="1">IF(AL60="","",SUM(INDIRECT("J"&amp;AN60&amp;":K"&amp;AN60)))</f>
      </c>
      <c r="AQ60" s="1078"/>
      <c r="AR60" s="1092">
        <f>IF(AL61="","",AP60-AP61)</f>
      </c>
      <c r="AS60" s="1448"/>
      <c r="AT60" s="1081">
        <f ca="1">IF(AL60="","",LARGE(INDIRECT("H"&amp;AN60&amp;":K"&amp;AN60),$AT$58))</f>
      </c>
      <c r="AU60" s="1081">
        <f ca="1">IF(AL60="","",LARGE(INDIRECT("H"&amp;AN60&amp;":K"&amp;AN60),$AU$58))</f>
      </c>
      <c r="AV60" s="1081">
        <f ca="1">IF(AL60="","",LARGE(INDIRECT("H"&amp;AN60&amp;":K"&amp;AN60),$AV$58))</f>
      </c>
      <c r="AW60" s="391"/>
      <c r="AX60" s="391"/>
      <c r="AY60" s="391"/>
      <c r="AZ60" s="1098">
        <f ca="1">IF(AL60="","",MAX(INDIRECT("J"&amp;AN60&amp;":K"&amp;AN60)))</f>
      </c>
      <c r="BA60" s="391"/>
      <c r="BB60" s="391"/>
      <c r="BC60" s="391"/>
      <c r="BD60" s="1510"/>
      <c r="BE60" s="569"/>
      <c r="BF60" s="391"/>
      <c r="BG60" s="391"/>
      <c r="BH60" s="391"/>
      <c r="BI60" s="391"/>
      <c r="BJ60" s="391"/>
      <c r="BK60" s="1099"/>
      <c r="BL60" s="1100"/>
      <c r="BM60" s="1101" t="s">
        <v>170</v>
      </c>
      <c r="BN60" s="1101" t="s">
        <v>171</v>
      </c>
      <c r="BO60" s="1101" t="s">
        <v>172</v>
      </c>
      <c r="BP60" s="1101" t="s">
        <v>173</v>
      </c>
      <c r="BQ60" s="391"/>
      <c r="BR60" s="391"/>
      <c r="BS60" s="391"/>
      <c r="BT60" s="391"/>
      <c r="BU60" s="391"/>
      <c r="BV60" s="391"/>
      <c r="BW60" s="391"/>
      <c r="BX60" s="570"/>
      <c r="BY60" s="570"/>
      <c r="BZ60" s="570"/>
      <c r="CA60" s="277" t="s">
        <v>170</v>
      </c>
      <c r="CB60" s="277" t="s">
        <v>171</v>
      </c>
      <c r="CC60" s="277" t="s">
        <v>172</v>
      </c>
      <c r="CD60" s="277" t="s">
        <v>173</v>
      </c>
      <c r="CF60" s="78"/>
      <c r="CG60" s="78"/>
      <c r="CH60" s="78"/>
      <c r="CI60" s="78"/>
      <c r="CM60" s="653"/>
      <c r="CN60" s="674"/>
      <c r="CO60" s="1474"/>
      <c r="CP60" s="1476"/>
      <c r="CQ60" s="258" t="s">
        <v>28</v>
      </c>
      <c r="CR60" s="258" t="s">
        <v>29</v>
      </c>
      <c r="CS60" s="65" t="s">
        <v>30</v>
      </c>
      <c r="CT60" s="66" t="s">
        <v>31</v>
      </c>
      <c r="CU60" s="65" t="s">
        <v>32</v>
      </c>
      <c r="CV60" s="296" t="s">
        <v>33</v>
      </c>
      <c r="CW60" s="295" t="s">
        <v>34</v>
      </c>
      <c r="CX60" s="67" t="s">
        <v>64</v>
      </c>
      <c r="CY60" s="68" t="s">
        <v>65</v>
      </c>
      <c r="CZ60" s="39"/>
      <c r="DA60" s="646"/>
      <c r="DB60" s="646"/>
      <c r="DC60" s="646"/>
      <c r="DD60" s="33"/>
      <c r="DE60" s="64"/>
      <c r="DF60" s="64"/>
      <c r="ET60" s="570"/>
      <c r="EU60" s="570"/>
      <c r="EV60" s="570"/>
      <c r="EW60" s="570"/>
      <c r="EX60" s="570"/>
      <c r="EY60" s="570"/>
      <c r="EZ60" s="570"/>
      <c r="FA60" s="568"/>
      <c r="FB60" s="570"/>
      <c r="FC60" s="570"/>
      <c r="FD60" s="570"/>
      <c r="FE60" s="570"/>
      <c r="FF60" s="570"/>
      <c r="FG60" s="570"/>
      <c r="FH60" s="570"/>
      <c r="FI60" s="570"/>
      <c r="FJ60" s="570"/>
      <c r="FK60" s="324"/>
      <c r="FL60" s="324"/>
      <c r="FM60" s="324"/>
      <c r="FN60" s="324"/>
      <c r="FO60" s="324"/>
      <c r="FP60" s="324"/>
      <c r="FQ60" s="324"/>
      <c r="FR60" s="324"/>
      <c r="FS60" s="324"/>
      <c r="FT60" s="324"/>
      <c r="FU60" s="324"/>
      <c r="FV60" s="324"/>
      <c r="FW60" s="324"/>
      <c r="FX60" s="324"/>
      <c r="FY60" s="324"/>
      <c r="FZ60" s="324"/>
      <c r="GA60" s="324"/>
      <c r="GB60" s="324"/>
      <c r="GC60" s="324"/>
      <c r="GD60" s="324"/>
      <c r="GE60" s="324"/>
      <c r="GF60" s="324"/>
      <c r="GG60" s="324"/>
      <c r="GH60" s="324"/>
      <c r="GI60" s="324"/>
      <c r="GJ60" s="64"/>
      <c r="GK60" s="64"/>
      <c r="GL60" s="324"/>
      <c r="GM60" s="324"/>
      <c r="GN60" s="324"/>
      <c r="GO60" s="324"/>
      <c r="GP60" s="324"/>
      <c r="GQ60" s="324"/>
      <c r="GR60" s="324"/>
      <c r="GS60" s="324"/>
      <c r="GT60" s="324"/>
      <c r="GU60" s="324"/>
      <c r="GV60" s="324"/>
      <c r="GW60" s="255"/>
      <c r="GX60" s="255"/>
      <c r="GY60" s="255"/>
      <c r="GZ60" s="255"/>
      <c r="HA60" s="324"/>
      <c r="HB60" s="324"/>
      <c r="HC60" s="324"/>
      <c r="HD60" s="324"/>
      <c r="HE60" s="324"/>
      <c r="HF60" s="324"/>
      <c r="HG60" s="570"/>
      <c r="HH60" s="570"/>
      <c r="HI60" s="570"/>
      <c r="HJ60" s="570"/>
      <c r="HK60" s="570"/>
      <c r="HL60" s="570"/>
      <c r="HM60" s="324"/>
      <c r="HN60" s="324"/>
    </row>
    <row r="61" spans="23:222" ht="17.25">
      <c r="W61" s="570"/>
      <c r="X61" s="255"/>
      <c r="Y61" s="64"/>
      <c r="Z61" s="570"/>
      <c r="AA61" s="736"/>
      <c r="AB61" s="736"/>
      <c r="AC61" s="736"/>
      <c r="AD61" s="736"/>
      <c r="AE61" s="255"/>
      <c r="AF61" s="255"/>
      <c r="AG61" s="255"/>
      <c r="AH61" s="255"/>
      <c r="AI61" s="391"/>
      <c r="AJ61" s="391"/>
      <c r="AK61" s="570"/>
      <c r="AL61" s="1076">
        <f ca="1">IF(AN61="","",INDIRECT("Z"&amp;AN61))</f>
      </c>
      <c r="AM61" s="1086" t="s">
        <v>478</v>
      </c>
      <c r="AN61" s="1087">
        <f>C14</f>
      </c>
      <c r="AO61" s="1086">
        <f ca="1">IF(AL61="","",SUM(INDIRECT("H"&amp;AN61&amp;":K"&amp;AN61)))</f>
      </c>
      <c r="AP61" s="1088">
        <f ca="1">IF(AL61="","",SUM(INDIRECT("J"&amp;AN61&amp;":K"&amp;AN61)))</f>
      </c>
      <c r="AQ61" s="1079" t="e">
        <f>AO61-AO60</f>
        <v>#VALUE!</v>
      </c>
      <c r="AR61" s="391"/>
      <c r="AS61" s="391"/>
      <c r="AT61" s="1081">
        <f ca="1">IF(AL61="","",LARGE(INDIRECT("H"&amp;AN61&amp;":K"&amp;AN61),$AT$58))</f>
      </c>
      <c r="AU61" s="1081">
        <f ca="1">IF(AL61="","",LARGE(INDIRECT("H"&amp;AN61&amp;":K"&amp;AN61),$AU$58))</f>
      </c>
      <c r="AV61" s="1081">
        <f ca="1">IF(AL61="","",LARGE(INDIRECT("H"&amp;AN61&amp;":K"&amp;AN61),$AV$58))</f>
      </c>
      <c r="AW61" s="391"/>
      <c r="AX61" s="391"/>
      <c r="AY61" s="391"/>
      <c r="AZ61" s="1098">
        <f ca="1">IF(AL61="","",MAX(INDIRECT("J"&amp;AN61&amp;":K"&amp;AN61)))</f>
      </c>
      <c r="BA61" s="391"/>
      <c r="BB61" s="391"/>
      <c r="BC61" s="391"/>
      <c r="BD61" s="1510"/>
      <c r="BE61" s="391"/>
      <c r="BF61" s="391"/>
      <c r="BG61" s="391"/>
      <c r="BH61" s="391"/>
      <c r="BI61" s="391"/>
      <c r="BJ61" s="391" t="s">
        <v>38</v>
      </c>
      <c r="BM61" s="274">
        <f>BM10</f>
      </c>
      <c r="BN61" s="274">
        <f>BN10</f>
      </c>
      <c r="BO61" s="274">
        <f>BO10</f>
      </c>
      <c r="BP61" s="274">
        <f>BP10</f>
      </c>
      <c r="BQ61" s="313">
        <f aca="true" t="shared" si="140" ref="BQ61:BQ82">IF(OR(E10=1,E10=2),SUM(H10:K10),0)</f>
        <v>0</v>
      </c>
      <c r="BR61" s="567">
        <f aca="true" t="shared" si="141" ref="BR61:BR82">IF(AND(E10&lt;&gt;1,E10&lt;&gt;2,Z10&lt;&gt;0),COUNTIF(BM61:BP61,"&lt;5"),0)</f>
        <v>0</v>
      </c>
      <c r="BS61" s="567">
        <f aca="true" t="shared" si="142" ref="BS61:BS82">IF(OR(E10=1,E10=2),COUNTIF(BM61:BP61,"&lt;5"),0)</f>
        <v>0</v>
      </c>
      <c r="BT61" s="274"/>
      <c r="BU61" s="274"/>
      <c r="BV61" s="274"/>
      <c r="BW61" s="274"/>
      <c r="BX61" s="570"/>
      <c r="BY61" s="570"/>
      <c r="BZ61" s="570"/>
      <c r="CA61" s="274"/>
      <c r="CB61" s="274"/>
      <c r="CC61" s="274"/>
      <c r="CD61" s="274"/>
      <c r="CF61" s="324"/>
      <c r="CG61" s="324"/>
      <c r="CH61" s="324"/>
      <c r="CI61" s="324"/>
      <c r="CM61" s="684"/>
      <c r="CN61" s="672"/>
      <c r="CO61" s="259" t="str">
        <f aca="true" t="shared" si="143" ref="CO61:CO82">IF(Z10="","",Z10)</f>
        <v>D</v>
      </c>
      <c r="CP61" s="260">
        <f aca="true" t="shared" si="144" ref="CP61:CP82">IF(E10="","",E10)</f>
      </c>
      <c r="CQ61" s="259"/>
      <c r="CR61" s="260"/>
      <c r="CS61" s="345">
        <f>IF(BM61="","",BM61)</f>
      </c>
      <c r="CT61" s="345">
        <f>IF(BN61="","",BN61)</f>
      </c>
      <c r="CU61" s="345">
        <f>IF(BO61="","",BO61)</f>
      </c>
      <c r="CV61" s="345">
        <f>IF(BP61="","",BP61)</f>
      </c>
      <c r="CW61" s="50">
        <f>IF(CO61="","",COUNTA(CS61:CV61))</f>
        <v>4</v>
      </c>
      <c r="CX61" s="69">
        <f>IF(OR(CP61=1,CP61=2,CO61=""),"",SUM(CS61:CV61))</f>
        <v>0</v>
      </c>
      <c r="CY61" s="70">
        <f>IF(OR(CP61=1,CP61=2),2*SUM(CS61:CV61),"")</f>
      </c>
      <c r="CZ61" s="39"/>
      <c r="DA61" s="946"/>
      <c r="DB61" s="946"/>
      <c r="DC61" s="946"/>
      <c r="DD61" s="33"/>
      <c r="DE61" s="71">
        <f>IF(AND(CP61&lt;&gt;1,CP61&lt;&gt;2,CO61&lt;&gt;0),COUNTIF(CS61:CV61,"&lt;5"),"0")</f>
        <v>0</v>
      </c>
      <c r="DF61" s="71" t="str">
        <f>IF(OR(CP61=1,CP61=2),COUNTIF(CS61:CV61,"&lt;5"),"0")</f>
        <v>0</v>
      </c>
      <c r="ET61" s="570"/>
      <c r="EU61" s="570"/>
      <c r="EV61" s="570"/>
      <c r="EW61" s="570"/>
      <c r="EX61" s="570"/>
      <c r="EY61" s="570"/>
      <c r="EZ61" s="570"/>
      <c r="FA61" s="324"/>
      <c r="FB61" s="255"/>
      <c r="FC61" s="255"/>
      <c r="FD61" s="255"/>
      <c r="FE61" s="255"/>
      <c r="FF61" s="324"/>
      <c r="FG61" s="324"/>
      <c r="FH61" s="324"/>
      <c r="FI61" s="324"/>
      <c r="FJ61" s="324"/>
      <c r="FK61" s="324"/>
      <c r="FL61" s="324"/>
      <c r="FM61" s="324"/>
      <c r="FN61" s="324"/>
      <c r="FO61" s="324"/>
      <c r="FP61" s="324"/>
      <c r="FQ61" s="579"/>
      <c r="FR61" s="579"/>
      <c r="FS61" s="579"/>
      <c r="FT61" s="579"/>
      <c r="FU61" s="579"/>
      <c r="FV61" s="579"/>
      <c r="FW61" s="579"/>
      <c r="FX61" s="579"/>
      <c r="FY61" s="324"/>
      <c r="FZ61" s="1041"/>
      <c r="GA61" s="1041"/>
      <c r="GB61" s="1041"/>
      <c r="GC61" s="1041"/>
      <c r="GD61" s="324"/>
      <c r="GE61" s="324"/>
      <c r="GF61" s="324"/>
      <c r="GG61" s="324"/>
      <c r="GH61" s="324"/>
      <c r="GI61" s="324"/>
      <c r="GJ61" s="71"/>
      <c r="GK61" s="71"/>
      <c r="GL61" s="324"/>
      <c r="GM61" s="324"/>
      <c r="GN61" s="324"/>
      <c r="GO61" s="324"/>
      <c r="GP61" s="324"/>
      <c r="GQ61" s="324"/>
      <c r="GR61" s="324"/>
      <c r="GS61" s="324"/>
      <c r="GT61" s="324"/>
      <c r="GU61" s="324"/>
      <c r="GV61" s="324"/>
      <c r="GW61" s="324"/>
      <c r="GX61" s="324"/>
      <c r="GY61" s="324"/>
      <c r="GZ61" s="324"/>
      <c r="HA61" s="324"/>
      <c r="HB61" s="324"/>
      <c r="HC61" s="324"/>
      <c r="HD61" s="324"/>
      <c r="HE61" s="324"/>
      <c r="HF61" s="324"/>
      <c r="HG61" s="255"/>
      <c r="HH61" s="255"/>
      <c r="HI61" s="255"/>
      <c r="HJ61" s="255"/>
      <c r="HK61" s="255"/>
      <c r="HL61" s="255"/>
      <c r="HM61" s="324"/>
      <c r="HN61" s="324"/>
    </row>
    <row r="62" spans="15:222" ht="17.25">
      <c r="O62" s="290"/>
      <c r="W62" s="570"/>
      <c r="X62" s="255"/>
      <c r="Y62" s="64"/>
      <c r="Z62" s="570"/>
      <c r="AA62" s="570"/>
      <c r="AB62" s="570"/>
      <c r="AC62" s="570"/>
      <c r="AD62" s="570"/>
      <c r="AE62" s="391"/>
      <c r="AF62" s="391"/>
      <c r="AG62" s="391"/>
      <c r="AH62" s="391"/>
      <c r="AI62" s="391"/>
      <c r="AJ62" s="391"/>
      <c r="AK62" s="570"/>
      <c r="AL62" s="568"/>
      <c r="AM62" s="391"/>
      <c r="AN62" s="391"/>
      <c r="AO62" s="391"/>
      <c r="AP62" s="1094"/>
      <c r="AQ62" s="1094"/>
      <c r="AR62" s="1093" t="s">
        <v>490</v>
      </c>
      <c r="AS62" s="391"/>
      <c r="AT62" s="391"/>
      <c r="AU62" s="391"/>
      <c r="AV62" s="391"/>
      <c r="AW62" s="391"/>
      <c r="AX62" s="391"/>
      <c r="AY62" s="391"/>
      <c r="AZ62" s="391"/>
      <c r="BA62" s="391"/>
      <c r="BB62" s="391"/>
      <c r="BC62" s="391"/>
      <c r="BD62" s="585"/>
      <c r="BE62" s="391"/>
      <c r="BF62" s="391"/>
      <c r="BG62" s="585"/>
      <c r="BH62" s="585"/>
      <c r="BI62" s="391"/>
      <c r="BJ62" s="391" t="s">
        <v>67</v>
      </c>
      <c r="BK62" s="1099">
        <v>11</v>
      </c>
      <c r="BL62" s="1100"/>
      <c r="BM62" s="1099">
        <f aca="true" t="shared" si="145" ref="BM62:BN64">IF(ISNA(MATCH("g",$AT$65:$AV$65,0))=TRUE,BM11,IF(AND($AN$61=$BK62,OR($AV$65="g",$AU$65="g",$AT$65="g")),VLOOKUP($AL$61,$D$11:$K$13,BM$59,FALSE),""))</f>
      </c>
      <c r="BN62" s="1099">
        <f t="shared" si="145"/>
      </c>
      <c r="BO62" s="1099">
        <f aca="true" t="shared" si="146" ref="BO62:BP64">IF(ISNA(MATCH("g",$AT$65:$AV$65,0))=TRUE,BO11,IF(AND($AN$61=$BK62,OR($AV$65="g",$AU$65="g",$AT$65="g")),VLOOKUP($AL$61,$D$11:$K$13,BO$59,FALSE),IF(AND($AN$60=$BK62,$AL$60=$BF$36),VLOOKUP($AL$60,$D$11:$K$13,BO$59,FALSE),"")))</f>
      </c>
      <c r="BP62" s="1099">
        <f t="shared" si="146"/>
      </c>
      <c r="BQ62" s="313">
        <f t="shared" si="140"/>
        <v>0</v>
      </c>
      <c r="BR62" s="567">
        <f t="shared" si="141"/>
        <v>0</v>
      </c>
      <c r="BS62" s="567">
        <f t="shared" si="142"/>
        <v>0</v>
      </c>
      <c r="BT62" s="842">
        <f aca="true" t="shared" si="147" ref="BT62:BW64">IF(OR(BM62&lt;&gt;"",H11="",$AA11&lt;&gt;0),"",H11)</f>
      </c>
      <c r="BU62" s="842">
        <f t="shared" si="147"/>
      </c>
      <c r="BV62" s="842">
        <f t="shared" si="147"/>
      </c>
      <c r="BW62" s="842">
        <f t="shared" si="147"/>
      </c>
      <c r="BX62" s="570"/>
      <c r="BY62" s="1072">
        <f aca="true" t="shared" si="148" ref="BY62:BY82">IF(ISERROR(MATCH($BX$84,BT62:BW62,0)=TRUE),"","x")</f>
      </c>
      <c r="BZ62" s="393"/>
      <c r="CA62" s="842">
        <f>IF(ISNA(MATCH(ADDRESS(ROW(BT62),COLUMN(BT62),4),$BX$89:$BX$100,0))=TRUE,"",IF(AND(ISNA(MATCH("PJK",$CH$89:$CH$100,0))=TRUE,MATCH(ADDRESS(ROW(BT62),COLUMN(BT62),4),$BX$89:$BX$100,0)&gt;MAX($BV$89:$BV$100)),"",IF(AND(VLOOKUP("PJK",$CH$89:$CK$100,3,FALSE)=35,$BY$85&lt;&gt;"",$BY$85=ADDRESS(ROW(BT62),COLUMN(BT62),4)),BT62,IF(MATCH(ADDRESS(ROW(BT62),COLUMN(BT62),4),$BX$89:$BX$100,0)&gt;MAX($BV$89:$BV$100),"",BT62))))</f>
      </c>
      <c r="CB62" s="842">
        <f>IF(ISNA(MATCH(ADDRESS(ROW(BU62),COLUMN(BU62),4),$BX$89:$BX$100,0))=TRUE,"",IF(AND(ISNA(MATCH("PJK",$CH$89:$CH$100,0))=TRUE,MATCH(ADDRESS(ROW(BU62),COLUMN(BU62),4),$BX$89:$BX$100,0)&gt;MAX($BV$89:$BV$100)),"",IF(AND(VLOOKUP("PJK",$CH$89:$CK$100,3,FALSE)=35,$BY$85&lt;&gt;"",$BY$85=ADDRESS(ROW(BU62),COLUMN(BU62),4)),BU62,IF(MATCH(ADDRESS(ROW(BU62),COLUMN(BU62),4),$BX$89:$BX$100,0)&gt;MAX($BV$89:$BV$100),"",BU62))))</f>
      </c>
      <c r="CC62" s="842">
        <f>IF(ISNA(MATCH(ADDRESS(ROW(BV62),COLUMN(BV62),4),$BX$89:$BX$100,0))=TRUE,"",IF(AND(ISNA(MATCH("PJK",$CH$89:$CH$100,0))=TRUE,MATCH(ADDRESS(ROW(BV62),COLUMN(BV62),4),$BX$89:$BX$100,0)&gt;MAX($BV$89:$BV$100)),"",IF(AND(VLOOKUP("PJK",$CH$89:$CK$100,3,FALSE)=35,$BY$85&lt;&gt;"",$BY$85=ADDRESS(ROW(BV62),COLUMN(BV62),4)),BV62,IF(MATCH(ADDRESS(ROW(BV62),COLUMN(BV62),4),$BX$89:$BX$100,0)&gt;MAX($BV$89:$BV$100),"",BV62))))</f>
      </c>
      <c r="CD62" s="842">
        <f>IF(ISNA(MATCH(ADDRESS(ROW(BW62),COLUMN(BW62),4),$BX$89:$BX$100,0))=TRUE,"",IF(AND(ISNA(MATCH("PJK",$CH$89:$CH$100,0))=TRUE,MATCH(ADDRESS(ROW(BW62),COLUMN(BW62),4),$BX$89:$BX$100,0)&gt;MAX($BV$89:$BV$100)),"",IF(AND(VLOOKUP("PJK",$CH$89:$CK$100,3,FALSE)=35,$BY$85&lt;&gt;"",$BY$85=ADDRESS(ROW(BW62),COLUMN(BW62),4)),BW62,IF(MATCH(ADDRESS(ROW(BW62),COLUMN(BW62),4),$BX$89:$BX$100,0)&gt;MAX($BV$89:$BV$100),"",BW62))))</f>
      </c>
      <c r="CE62" s="919"/>
      <c r="CF62" s="1033">
        <f aca="true" t="shared" si="149" ref="CF62:CF82">IF(ISNA(MATCH(ADDRESS(ROW(BT62),COLUMN(BT62),4),$BX$89:$BX$100,0))=TRUE,"",IF(OR($CI$6="",ISNA(MATCH("PJK",$CH$89:$CH$100,0)=TRUE)),CA62,IF(AND(COUNT($CA$32:$CD$34)=1,MATCH("PJK",$CH$89:$CH$100,0)+$BQ$89=35,ADDRESS(ROW(CA62),COLUMN(CA62),4)=$CI$6,CA62&lt;$CI$37),"",CA62)))</f>
      </c>
      <c r="CG62" s="1033">
        <f aca="true" t="shared" si="150" ref="CG62:CG82">IF(ISNA(MATCH(ADDRESS(ROW(BU62),COLUMN(BU62),4),$BX$89:$BX$100,0))=TRUE,"",IF(OR($CI$6="",ISNA(MATCH("PJK",$CH$89:$CH$100,0)=TRUE)),CB62,IF(AND(COUNT($CA$32:$CD$34)=1,MATCH("PJK",$CH$89:$CH$100,0)+$BQ$89=35,ADDRESS(ROW(CB62),COLUMN(CB62),4)=$CI$6,CB62&lt;$CI$37),"",CB62)))</f>
      </c>
      <c r="CH62" s="1033">
        <f aca="true" t="shared" si="151" ref="CH62:CH82">IF(ISNA(MATCH(ADDRESS(ROW(BV62),COLUMN(BV62),4),$BX$89:$BX$100,0))=TRUE,"",IF(OR($CI$6="",ISNA(MATCH("PJK",$CH$89:$CH$100,0)=TRUE)),CC62,IF(AND(COUNT($CA$32:$CD$34)=1,MATCH("PJK",$CH$89:$CH$100,0)+$BQ$89=35,ADDRESS(ROW(CC62),COLUMN(CC62),4)=$CI$6,CC62&lt;$CI$37),"",CC62)))</f>
      </c>
      <c r="CI62" s="1033">
        <f aca="true" t="shared" si="152" ref="CI62:CI82">IF(ISNA(MATCH(ADDRESS(ROW(BW62),COLUMN(BW62),4),$BX$89:$BX$100,0))=TRUE,"",IF(OR($CI$6="",ISNA(MATCH("PJK",$CH$89:$CH$100,0)=TRUE)),CD62,IF(AND(COUNT($CA$32:$CD$34)=1,MATCH("PJK",$CH$89:$CH$100,0)+$BQ$89=35,ADDRESS(ROW(CD62),COLUMN(CD62),4)=$CI$6,CD62&lt;$CI$37),"",CD62)))</f>
      </c>
      <c r="CJ62" s="393"/>
      <c r="CK62" s="919"/>
      <c r="CL62" s="393"/>
      <c r="CM62" s="684"/>
      <c r="CN62" s="672"/>
      <c r="CO62" s="259" t="str">
        <f t="shared" si="143"/>
        <v>E</v>
      </c>
      <c r="CP62" s="260">
        <f t="shared" si="144"/>
      </c>
      <c r="CQ62" s="259"/>
      <c r="CR62" s="260"/>
      <c r="CS62" s="345">
        <f aca="true" t="shared" si="153" ref="CS62:CV64">IF(OR($Z11="",H11=""),"",IF(BM62&lt;&gt;"",BM62,IF(CF62&lt;&gt;"",CF62,"("&amp;H11&amp;")")))</f>
      </c>
      <c r="CT62" s="345">
        <f t="shared" si="153"/>
      </c>
      <c r="CU62" s="345">
        <f t="shared" si="153"/>
      </c>
      <c r="CV62" s="345">
        <f t="shared" si="153"/>
      </c>
      <c r="CW62" s="50">
        <f>IF(CO62="","",COUNTA(CS62:CV62)-COUNTIF(CS62:CV62,""))</f>
        <v>0</v>
      </c>
      <c r="CX62" s="69">
        <f aca="true" t="shared" si="154" ref="CX62:CX82">IF(OR(CP62=1,CP62=2,CO62=""),"",SUM(CS62:CV62))</f>
        <v>0</v>
      </c>
      <c r="CY62" s="70">
        <f aca="true" t="shared" si="155" ref="CY62:CY82">IF(OR(CP62=1,CP62=2),2*SUM(CS62:CV62),"")</f>
      </c>
      <c r="CZ62" s="39"/>
      <c r="DA62" s="946"/>
      <c r="DB62" s="946"/>
      <c r="DC62" s="946"/>
      <c r="DD62" s="33"/>
      <c r="DE62" s="71">
        <f aca="true" t="shared" si="156" ref="DE62:DE83">IF(AND(CP62&lt;&gt;1,CP62&lt;&gt;2,CO62&lt;&gt;0),COUNTIF(CS62:CV62,"&lt;5"),"0")</f>
        <v>0</v>
      </c>
      <c r="DF62" s="71" t="str">
        <f aca="true" t="shared" si="157" ref="DF62:DF83">IF(OR(CP62=1,CP62=2),COUNTIF(CS62:CV62,"&lt;5"),"0")</f>
        <v>0</v>
      </c>
      <c r="DG62" s="393"/>
      <c r="DH62" s="393"/>
      <c r="DI62" s="919"/>
      <c r="DJ62" s="393"/>
      <c r="DK62" s="393"/>
      <c r="DL62" s="393"/>
      <c r="DM62" s="393"/>
      <c r="DN62" s="393"/>
      <c r="DO62" s="919"/>
      <c r="DP62" s="393"/>
      <c r="DQ62" s="393"/>
      <c r="DR62" s="393"/>
      <c r="DS62" s="393"/>
      <c r="DT62" s="393"/>
      <c r="DU62" s="919"/>
      <c r="DV62" s="393"/>
      <c r="DW62" s="393"/>
      <c r="DX62" s="393"/>
      <c r="DY62" s="393"/>
      <c r="DZ62" s="393"/>
      <c r="EA62" s="919"/>
      <c r="EB62" s="393"/>
      <c r="EC62" s="393"/>
      <c r="ED62" s="393"/>
      <c r="EE62" s="393"/>
      <c r="EF62" s="393"/>
      <c r="EG62" s="919"/>
      <c r="EH62" s="393"/>
      <c r="EI62" s="393"/>
      <c r="EJ62" s="393"/>
      <c r="EK62" s="393"/>
      <c r="EL62" s="393"/>
      <c r="EM62" s="393"/>
      <c r="EN62" s="919"/>
      <c r="EO62" s="393"/>
      <c r="EP62" s="393"/>
      <c r="EQ62" s="393"/>
      <c r="ER62" s="393"/>
      <c r="ES62" s="393"/>
      <c r="ET62" s="393"/>
      <c r="EU62" s="393"/>
      <c r="EV62" s="393"/>
      <c r="EW62" s="393"/>
      <c r="EX62" s="393"/>
      <c r="EY62" s="862"/>
      <c r="EZ62" s="593"/>
      <c r="FA62" s="324"/>
      <c r="FB62" s="393"/>
      <c r="FC62" s="393"/>
      <c r="FD62" s="393"/>
      <c r="FE62" s="393"/>
      <c r="FF62" s="862"/>
      <c r="FG62" s="593"/>
      <c r="FH62" s="593"/>
      <c r="FI62" s="593"/>
      <c r="FJ62" s="593"/>
      <c r="FK62" s="324"/>
      <c r="FL62" s="324"/>
      <c r="FM62" s="324"/>
      <c r="FN62" s="324"/>
      <c r="FO62" s="324"/>
      <c r="FP62" s="324"/>
      <c r="FQ62" s="579"/>
      <c r="FR62" s="579"/>
      <c r="FS62" s="579"/>
      <c r="FT62" s="579"/>
      <c r="FU62" s="579"/>
      <c r="FV62" s="579"/>
      <c r="FW62" s="579"/>
      <c r="FX62" s="579"/>
      <c r="FY62" s="324"/>
      <c r="FZ62" s="579"/>
      <c r="GA62" s="579"/>
      <c r="GB62" s="579"/>
      <c r="GC62" s="579"/>
      <c r="GD62" s="324"/>
      <c r="GE62" s="324"/>
      <c r="GF62" s="324"/>
      <c r="GG62" s="324"/>
      <c r="GH62" s="324"/>
      <c r="GI62" s="324"/>
      <c r="GJ62" s="71"/>
      <c r="GK62" s="71"/>
      <c r="GL62" s="324"/>
      <c r="GM62" s="324"/>
      <c r="GN62" s="324"/>
      <c r="GO62" s="324"/>
      <c r="GP62" s="324"/>
      <c r="GQ62" s="324"/>
      <c r="GR62" s="324"/>
      <c r="GS62" s="324"/>
      <c r="GT62" s="324"/>
      <c r="GU62" s="324"/>
      <c r="GV62" s="324"/>
      <c r="GW62" s="393"/>
      <c r="GX62" s="393"/>
      <c r="GY62" s="393"/>
      <c r="GZ62" s="393"/>
      <c r="HA62" s="324"/>
      <c r="HB62" s="324"/>
      <c r="HC62" s="324"/>
      <c r="HD62" s="324"/>
      <c r="HE62" s="324"/>
      <c r="HF62" s="324"/>
      <c r="HG62" s="393"/>
      <c r="HH62" s="393"/>
      <c r="HI62" s="393"/>
      <c r="HJ62" s="393"/>
      <c r="HK62" s="393"/>
      <c r="HL62" s="393"/>
      <c r="HM62" s="324"/>
      <c r="HN62" s="324"/>
    </row>
    <row r="63" spans="14:222" ht="15">
      <c r="N63" s="290"/>
      <c r="O63" s="290"/>
      <c r="W63" s="570"/>
      <c r="X63" s="333"/>
      <c r="Y63" s="656"/>
      <c r="Z63" s="570"/>
      <c r="AA63" s="570"/>
      <c r="AB63" s="570"/>
      <c r="AC63" s="570"/>
      <c r="AD63" s="570"/>
      <c r="AE63" s="391"/>
      <c r="AF63" s="391"/>
      <c r="AG63" s="391"/>
      <c r="AH63" s="391"/>
      <c r="AI63" s="391"/>
      <c r="AJ63" s="391"/>
      <c r="AK63" s="570"/>
      <c r="AL63" s="568"/>
      <c r="AM63" s="391"/>
      <c r="AN63" s="391"/>
      <c r="AO63" s="595"/>
      <c r="AP63" s="391"/>
      <c r="AQ63" s="391"/>
      <c r="AR63" s="585"/>
      <c r="AS63" s="391"/>
      <c r="AT63" s="391"/>
      <c r="AU63" s="391"/>
      <c r="AV63" s="391"/>
      <c r="AW63" s="391"/>
      <c r="AX63" s="391"/>
      <c r="AY63" s="391"/>
      <c r="AZ63" s="391"/>
      <c r="BA63" s="391"/>
      <c r="BB63" s="391"/>
      <c r="BC63" s="391"/>
      <c r="BD63" s="585"/>
      <c r="BE63" s="391"/>
      <c r="BF63" s="585"/>
      <c r="BG63" s="585"/>
      <c r="BH63" s="585"/>
      <c r="BI63" s="391"/>
      <c r="BJ63" s="391"/>
      <c r="BK63" s="1099">
        <v>12</v>
      </c>
      <c r="BL63" s="1100"/>
      <c r="BM63" s="1099">
        <f t="shared" si="145"/>
      </c>
      <c r="BN63" s="1099">
        <f t="shared" si="145"/>
      </c>
      <c r="BO63" s="1099">
        <f t="shared" si="146"/>
      </c>
      <c r="BP63" s="1099">
        <f t="shared" si="146"/>
      </c>
      <c r="BQ63" s="313">
        <f t="shared" si="140"/>
        <v>0</v>
      </c>
      <c r="BR63" s="567">
        <f t="shared" si="141"/>
        <v>0</v>
      </c>
      <c r="BS63" s="567">
        <f t="shared" si="142"/>
        <v>0</v>
      </c>
      <c r="BT63" s="842">
        <f t="shared" si="147"/>
      </c>
      <c r="BU63" s="842">
        <f t="shared" si="147"/>
      </c>
      <c r="BV63" s="842">
        <f t="shared" si="147"/>
      </c>
      <c r="BW63" s="842">
        <f t="shared" si="147"/>
      </c>
      <c r="BX63" s="570"/>
      <c r="BY63" s="1072">
        <f t="shared" si="148"/>
      </c>
      <c r="BZ63" s="393"/>
      <c r="CA63" s="842">
        <f aca="true" t="shared" si="158" ref="CA63:CA82">IF(ISNA(MATCH(ADDRESS(ROW(BT63),COLUMN(BT63),4),$BX$89:$BX$100,0))=TRUE,"",IF(AND(ISNA(MATCH("PJK",$CH$89:$CH$100,0))=TRUE,MATCH(ADDRESS(ROW(BT63),COLUMN(BT63),4),$BX$89:$BX$100,0)&gt;MAX($BV$89:$BV$100)),"",IF(AND(VLOOKUP("PJK",$CH$88:$CK$100,3,FALSE)=35,$BY$85&lt;&gt;"",$BY$85=ADDRESS(ROW(BT63),COLUMN(BT63),4)),BT63,IF(MATCH(ADDRESS(ROW(BT63),COLUMN(BT63),4),$BX$89:$BX$100,0)&gt;MAX($BV$89:$BV$100),"",BT63))))</f>
      </c>
      <c r="CB63" s="842">
        <f aca="true" t="shared" si="159" ref="CB63:CB82">IF(ISNA(MATCH(ADDRESS(ROW(BU63),COLUMN(BU63),4),$BX$89:$BX$100,0))=TRUE,"",IF(AND(ISNA(MATCH("PJK",$CH$89:$CH$100,0))=TRUE,MATCH(ADDRESS(ROW(BU63),COLUMN(BU63),4),$BX$89:$BX$100,0)&gt;MAX($BV$89:$BV$100)),"",IF(AND(VLOOKUP("PJK",$CH$88:$CK$100,3,FALSE)=35,$BY$85&lt;&gt;"",$BY$85=ADDRESS(ROW(BU63),COLUMN(BU63),4)),BU63,IF(MATCH(ADDRESS(ROW(BU63),COLUMN(BU63),4),$BX$89:$BX$100,0)&gt;MAX($BV$89:$BV$100),"",BU63))))</f>
      </c>
      <c r="CC63" s="842">
        <f aca="true" t="shared" si="160" ref="CC63:CC82">IF(ISNA(MATCH(ADDRESS(ROW(BV63),COLUMN(BV63),4),$BX$89:$BX$100,0))=TRUE,"",IF(AND(ISNA(MATCH("PJK",$CH$89:$CH$100,0))=TRUE,MATCH(ADDRESS(ROW(BV63),COLUMN(BV63),4),$BX$89:$BX$100,0)&gt;MAX($BV$89:$BV$100)),"",IF(AND(VLOOKUP("PJK",$CH$88:$CK$100,3,FALSE)=35,$BY$85&lt;&gt;"",$BY$85=ADDRESS(ROW(BV63),COLUMN(BV63),4)),BV63,IF(MATCH(ADDRESS(ROW(BV63),COLUMN(BV63),4),$BX$89:$BX$100,0)&gt;MAX($BV$89:$BV$100),"",BV63))))</f>
      </c>
      <c r="CD63" s="842">
        <f aca="true" t="shared" si="161" ref="CD63:CD82">IF(ISNA(MATCH(ADDRESS(ROW(BW63),COLUMN(BW63),4),$BX$89:$BX$100,0))=TRUE,"",IF(AND(ISNA(MATCH("PJK",$CH$89:$CH$100,0))=TRUE,MATCH(ADDRESS(ROW(BW63),COLUMN(BW63),4),$BX$89:$BX$100,0)&gt;MAX($BV$89:$BV$100)),"",IF(AND(VLOOKUP("PJK",$CH$88:$CK$100,3,FALSE)=35,$BY$85&lt;&gt;"",$BY$85=ADDRESS(ROW(BW63),COLUMN(BW63),4)),BW63,IF(MATCH(ADDRESS(ROW(BW63),COLUMN(BW63),4),$BX$89:$BX$100,0)&gt;MAX($BV$89:$BV$100),"",BW63))))</f>
      </c>
      <c r="CE63" s="919"/>
      <c r="CF63" s="1033">
        <f t="shared" si="149"/>
      </c>
      <c r="CG63" s="1033">
        <f t="shared" si="150"/>
      </c>
      <c r="CH63" s="1033">
        <f t="shared" si="151"/>
      </c>
      <c r="CI63" s="1033">
        <f t="shared" si="152"/>
      </c>
      <c r="CJ63" s="393"/>
      <c r="CK63" s="919"/>
      <c r="CL63" s="393"/>
      <c r="CM63" s="684"/>
      <c r="CN63" s="672"/>
      <c r="CO63" s="259" t="str">
        <f t="shared" si="143"/>
        <v>S0</v>
      </c>
      <c r="CP63" s="260">
        <f t="shared" si="144"/>
      </c>
      <c r="CQ63" s="259"/>
      <c r="CR63" s="260"/>
      <c r="CS63" s="345">
        <f t="shared" si="153"/>
      </c>
      <c r="CT63" s="345">
        <f t="shared" si="153"/>
      </c>
      <c r="CU63" s="345">
        <f t="shared" si="153"/>
      </c>
      <c r="CV63" s="345">
        <f t="shared" si="153"/>
      </c>
      <c r="CW63" s="50">
        <f>IF(CO63="","",COUNTA(CS63:CV63)-COUNTIF(CS63:CV63,""))</f>
        <v>0</v>
      </c>
      <c r="CX63" s="69">
        <f t="shared" si="154"/>
        <v>0</v>
      </c>
      <c r="CY63" s="70">
        <f t="shared" si="155"/>
      </c>
      <c r="CZ63" s="39"/>
      <c r="DA63" s="380"/>
      <c r="DB63" s="380"/>
      <c r="DC63" s="380"/>
      <c r="DD63" s="33"/>
      <c r="DE63" s="71">
        <f t="shared" si="156"/>
        <v>0</v>
      </c>
      <c r="DF63" s="71" t="str">
        <f t="shared" si="157"/>
        <v>0</v>
      </c>
      <c r="DG63" s="393"/>
      <c r="DH63" s="393"/>
      <c r="DI63" s="919"/>
      <c r="DJ63" s="393"/>
      <c r="DK63" s="393"/>
      <c r="DL63" s="393"/>
      <c r="DM63" s="393"/>
      <c r="DN63" s="393"/>
      <c r="DO63" s="919"/>
      <c r="DP63" s="393"/>
      <c r="DQ63" s="393"/>
      <c r="DR63" s="393"/>
      <c r="DS63" s="393"/>
      <c r="DT63" s="393"/>
      <c r="DU63" s="919"/>
      <c r="DV63" s="393"/>
      <c r="DW63" s="393"/>
      <c r="DX63" s="393"/>
      <c r="DY63" s="393"/>
      <c r="DZ63" s="393"/>
      <c r="EA63" s="919"/>
      <c r="EB63" s="393"/>
      <c r="EC63" s="393"/>
      <c r="ED63" s="393"/>
      <c r="EE63" s="393"/>
      <c r="EF63" s="393"/>
      <c r="EG63" s="919"/>
      <c r="EH63" s="393"/>
      <c r="EI63" s="393"/>
      <c r="EJ63" s="393"/>
      <c r="EK63" s="393"/>
      <c r="EL63" s="393"/>
      <c r="EM63" s="393"/>
      <c r="EN63" s="919"/>
      <c r="EO63" s="393"/>
      <c r="EP63" s="393"/>
      <c r="EQ63" s="393"/>
      <c r="ER63" s="393"/>
      <c r="ES63" s="393"/>
      <c r="ET63" s="393"/>
      <c r="EU63" s="393"/>
      <c r="EV63" s="393"/>
      <c r="EW63" s="393"/>
      <c r="EX63" s="393"/>
      <c r="EY63" s="393"/>
      <c r="EZ63" s="255"/>
      <c r="FA63" s="324"/>
      <c r="FB63" s="393"/>
      <c r="FC63" s="393"/>
      <c r="FD63" s="393"/>
      <c r="FE63" s="393"/>
      <c r="FF63" s="393"/>
      <c r="FG63" s="255"/>
      <c r="FH63" s="255"/>
      <c r="FI63" s="255"/>
      <c r="FJ63" s="255"/>
      <c r="FK63" s="324"/>
      <c r="FL63" s="324"/>
      <c r="FM63" s="324"/>
      <c r="FN63" s="324"/>
      <c r="FO63" s="324"/>
      <c r="FP63" s="324"/>
      <c r="FQ63" s="579"/>
      <c r="FR63" s="579"/>
      <c r="FS63" s="579"/>
      <c r="FT63" s="579"/>
      <c r="FU63" s="579"/>
      <c r="FV63" s="579"/>
      <c r="FW63" s="579"/>
      <c r="FX63" s="579"/>
      <c r="FY63" s="324"/>
      <c r="FZ63" s="579"/>
      <c r="GA63" s="579"/>
      <c r="GB63" s="579"/>
      <c r="GC63" s="579"/>
      <c r="GD63" s="324"/>
      <c r="GE63" s="324"/>
      <c r="GF63" s="324"/>
      <c r="GG63" s="324"/>
      <c r="GH63" s="324"/>
      <c r="GI63" s="324"/>
      <c r="GJ63" s="71"/>
      <c r="GK63" s="71"/>
      <c r="GL63" s="324"/>
      <c r="GM63" s="324"/>
      <c r="GN63" s="324"/>
      <c r="GO63" s="324"/>
      <c r="GP63" s="324"/>
      <c r="GQ63" s="324"/>
      <c r="GR63" s="324"/>
      <c r="GS63" s="324"/>
      <c r="GT63" s="324"/>
      <c r="GU63" s="324"/>
      <c r="GV63" s="324"/>
      <c r="GW63" s="393"/>
      <c r="GX63" s="393"/>
      <c r="GY63" s="393"/>
      <c r="GZ63" s="393"/>
      <c r="HA63" s="324"/>
      <c r="HB63" s="324"/>
      <c r="HC63" s="324"/>
      <c r="HD63" s="324"/>
      <c r="HE63" s="324"/>
      <c r="HF63" s="324"/>
      <c r="HG63" s="393"/>
      <c r="HH63" s="393"/>
      <c r="HI63" s="393"/>
      <c r="HJ63" s="393"/>
      <c r="HK63" s="393"/>
      <c r="HL63" s="393"/>
      <c r="HM63" s="324"/>
      <c r="HN63" s="324"/>
    </row>
    <row r="64" spans="15:222" ht="15">
      <c r="O64" s="290"/>
      <c r="W64" s="570"/>
      <c r="X64" s="64"/>
      <c r="Y64" s="64"/>
      <c r="Z64" s="570"/>
      <c r="AA64" s="570"/>
      <c r="AB64" s="570"/>
      <c r="AC64" s="570"/>
      <c r="AD64" s="570"/>
      <c r="AE64" s="391"/>
      <c r="AF64" s="391"/>
      <c r="AG64" s="391"/>
      <c r="AH64" s="391"/>
      <c r="AI64" s="391"/>
      <c r="AJ64" s="391"/>
      <c r="AK64" s="570"/>
      <c r="AL64" s="568"/>
      <c r="AM64" s="391"/>
      <c r="AO64" s="1077" t="s">
        <v>485</v>
      </c>
      <c r="AP64" s="1074">
        <v>1</v>
      </c>
      <c r="AQ64" s="1074">
        <v>2</v>
      </c>
      <c r="AR64" s="1074">
        <v>3</v>
      </c>
      <c r="AS64" s="391"/>
      <c r="AT64" s="391"/>
      <c r="AU64" s="391"/>
      <c r="AV64" s="391"/>
      <c r="AW64" s="391"/>
      <c r="AX64" s="391"/>
      <c r="AY64" s="391"/>
      <c r="AZ64" s="391"/>
      <c r="BA64" s="391"/>
      <c r="BB64" s="391"/>
      <c r="BC64" s="391"/>
      <c r="BD64" s="585"/>
      <c r="BE64" s="391"/>
      <c r="BF64" s="585"/>
      <c r="BG64" s="585"/>
      <c r="BH64" s="391"/>
      <c r="BI64" s="391"/>
      <c r="BJ64" s="391"/>
      <c r="BK64" s="1099">
        <v>13</v>
      </c>
      <c r="BL64" s="1100"/>
      <c r="BM64" s="1099">
        <f t="shared" si="145"/>
      </c>
      <c r="BN64" s="1099">
        <f t="shared" si="145"/>
      </c>
      <c r="BO64" s="1099">
        <f t="shared" si="146"/>
      </c>
      <c r="BP64" s="1099">
        <f t="shared" si="146"/>
      </c>
      <c r="BQ64" s="313">
        <f t="shared" si="140"/>
        <v>0</v>
      </c>
      <c r="BR64" s="567">
        <f t="shared" si="141"/>
        <v>0</v>
      </c>
      <c r="BS64" s="567">
        <f t="shared" si="142"/>
        <v>0</v>
      </c>
      <c r="BT64" s="842">
        <f t="shared" si="147"/>
      </c>
      <c r="BU64" s="842">
        <f t="shared" si="147"/>
      </c>
      <c r="BV64" s="842">
        <f t="shared" si="147"/>
      </c>
      <c r="BW64" s="842">
        <f t="shared" si="147"/>
      </c>
      <c r="BX64" s="570"/>
      <c r="BY64" s="1072">
        <f t="shared" si="148"/>
      </c>
      <c r="BZ64" s="393"/>
      <c r="CA64" s="842">
        <f t="shared" si="158"/>
      </c>
      <c r="CB64" s="842">
        <f t="shared" si="159"/>
      </c>
      <c r="CC64" s="842">
        <f t="shared" si="160"/>
      </c>
      <c r="CD64" s="842">
        <f t="shared" si="161"/>
      </c>
      <c r="CE64" s="919"/>
      <c r="CF64" s="1033">
        <f t="shared" si="149"/>
      </c>
      <c r="CG64" s="1033">
        <f t="shared" si="150"/>
      </c>
      <c r="CH64" s="1033">
        <f t="shared" si="151"/>
      </c>
      <c r="CI64" s="1033">
        <f t="shared" si="152"/>
      </c>
      <c r="CJ64" s="393"/>
      <c r="CK64" s="919"/>
      <c r="CL64" s="393"/>
      <c r="CM64" s="684"/>
      <c r="CN64" s="672"/>
      <c r="CO64" s="259">
        <f t="shared" si="143"/>
      </c>
      <c r="CP64" s="260">
        <f t="shared" si="144"/>
      </c>
      <c r="CQ64" s="259"/>
      <c r="CR64" s="260"/>
      <c r="CS64" s="345">
        <f t="shared" si="153"/>
      </c>
      <c r="CT64" s="345">
        <f t="shared" si="153"/>
      </c>
      <c r="CU64" s="345">
        <f t="shared" si="153"/>
      </c>
      <c r="CV64" s="345">
        <f t="shared" si="153"/>
      </c>
      <c r="CW64" s="50">
        <f>IF(CO64="","",COUNTA(CS64:CV64)-COUNTIF(CS64:CV64,""))</f>
      </c>
      <c r="CX64" s="69">
        <f t="shared" si="154"/>
      </c>
      <c r="CY64" s="70">
        <f t="shared" si="155"/>
      </c>
      <c r="CZ64" s="39"/>
      <c r="DA64" s="380"/>
      <c r="DB64" s="380"/>
      <c r="DC64" s="380"/>
      <c r="DD64" s="33"/>
      <c r="DE64" s="71">
        <f t="shared" si="156"/>
        <v>0</v>
      </c>
      <c r="DF64" s="71" t="str">
        <f t="shared" si="157"/>
        <v>0</v>
      </c>
      <c r="DG64" s="393"/>
      <c r="DH64" s="393"/>
      <c r="DI64" s="919"/>
      <c r="DJ64" s="393"/>
      <c r="DK64" s="393"/>
      <c r="DL64" s="393"/>
      <c r="DM64" s="393"/>
      <c r="DN64" s="393"/>
      <c r="DO64" s="919"/>
      <c r="DP64" s="393"/>
      <c r="DQ64" s="393"/>
      <c r="DR64" s="393"/>
      <c r="DS64" s="393"/>
      <c r="DT64" s="393"/>
      <c r="DU64" s="919"/>
      <c r="DV64" s="393"/>
      <c r="DW64" s="393"/>
      <c r="DX64" s="393"/>
      <c r="DY64" s="393"/>
      <c r="DZ64" s="393"/>
      <c r="EA64" s="919"/>
      <c r="EB64" s="393"/>
      <c r="EC64" s="393"/>
      <c r="ED64" s="393"/>
      <c r="EE64" s="393"/>
      <c r="EF64" s="393"/>
      <c r="EG64" s="919"/>
      <c r="EH64" s="393"/>
      <c r="EI64" s="393"/>
      <c r="EJ64" s="393"/>
      <c r="EK64" s="393"/>
      <c r="EL64" s="393"/>
      <c r="EM64" s="393"/>
      <c r="EN64" s="919"/>
      <c r="EO64" s="393"/>
      <c r="EP64" s="393"/>
      <c r="EQ64" s="393"/>
      <c r="ER64" s="393"/>
      <c r="ES64" s="393"/>
      <c r="ET64" s="393"/>
      <c r="EU64" s="393"/>
      <c r="EV64" s="393"/>
      <c r="EW64" s="393"/>
      <c r="EX64" s="393"/>
      <c r="EY64" s="393"/>
      <c r="EZ64" s="255"/>
      <c r="FA64" s="324"/>
      <c r="FB64" s="393"/>
      <c r="FC64" s="393"/>
      <c r="FD64" s="393"/>
      <c r="FE64" s="393"/>
      <c r="FF64" s="393"/>
      <c r="FG64" s="255"/>
      <c r="FH64" s="255"/>
      <c r="FI64" s="255"/>
      <c r="FJ64" s="255"/>
      <c r="FK64" s="324"/>
      <c r="FL64" s="324"/>
      <c r="FM64" s="324"/>
      <c r="FN64" s="324"/>
      <c r="FO64" s="324"/>
      <c r="FP64" s="324"/>
      <c r="FQ64" s="579"/>
      <c r="FR64" s="579"/>
      <c r="FS64" s="579"/>
      <c r="FT64" s="579"/>
      <c r="FU64" s="579"/>
      <c r="FV64" s="579"/>
      <c r="FW64" s="579"/>
      <c r="FX64" s="579"/>
      <c r="FY64" s="324"/>
      <c r="FZ64" s="579"/>
      <c r="GA64" s="579"/>
      <c r="GB64" s="579"/>
      <c r="GC64" s="579"/>
      <c r="GD64" s="324"/>
      <c r="GE64" s="324"/>
      <c r="GF64" s="324"/>
      <c r="GG64" s="324"/>
      <c r="GH64" s="324"/>
      <c r="GI64" s="324"/>
      <c r="GJ64" s="71"/>
      <c r="GK64" s="71"/>
      <c r="GL64" s="324"/>
      <c r="GM64" s="324"/>
      <c r="GN64" s="324"/>
      <c r="GO64" s="324"/>
      <c r="GP64" s="324"/>
      <c r="GQ64" s="324"/>
      <c r="GR64" s="324"/>
      <c r="GS64" s="324"/>
      <c r="GT64" s="324"/>
      <c r="GU64" s="324"/>
      <c r="GV64" s="324"/>
      <c r="GW64" s="393"/>
      <c r="GX64" s="393"/>
      <c r="GY64" s="393"/>
      <c r="GZ64" s="393"/>
      <c r="HA64" s="324"/>
      <c r="HB64" s="324"/>
      <c r="HC64" s="324"/>
      <c r="HD64" s="324"/>
      <c r="HE64" s="324"/>
      <c r="HF64" s="324"/>
      <c r="HG64" s="393"/>
      <c r="HH64" s="393"/>
      <c r="HI64" s="393"/>
      <c r="HJ64" s="393"/>
      <c r="HK64" s="393"/>
      <c r="HL64" s="393"/>
      <c r="HM64" s="324"/>
      <c r="HN64" s="324"/>
    </row>
    <row r="65" spans="23:222" ht="15">
      <c r="W65" s="570"/>
      <c r="X65" s="64"/>
      <c r="Y65" s="64"/>
      <c r="Z65" s="570"/>
      <c r="AA65" s="570"/>
      <c r="AB65" s="570"/>
      <c r="AC65" s="255"/>
      <c r="AD65" s="255"/>
      <c r="AE65" s="255"/>
      <c r="AF65" s="255"/>
      <c r="AG65" s="255"/>
      <c r="AH65" s="255"/>
      <c r="AI65" s="391"/>
      <c r="AJ65" s="391"/>
      <c r="AK65" s="570"/>
      <c r="AL65" s="568"/>
      <c r="AM65" s="1076" t="s">
        <v>390</v>
      </c>
      <c r="AN65" s="1089"/>
      <c r="AO65" s="1076"/>
      <c r="AP65" s="1076">
        <f>IF(AL61="","",IF(AND(AR59&lt;AT59-AT61,AT59&gt;CU40,CW38&lt;40),AT59-AT61-AR59,0))</f>
      </c>
      <c r="AQ65" s="1086">
        <f>IF(AL61="","",IF(AND(AR59&lt;AT59+AU59-AT61-AU61,AU59&gt;CU40,CW38&lt;39),AT59+AU59-AT61-AU61-AR59,0))</f>
      </c>
      <c r="AR65" s="1086">
        <f>IF(AL61="","",IF(AND(AR59&lt;AT59+AU59+AV59-AT61-AU61-AV61,AV59&gt;CU40,CW38&lt;38),AT59+AU59+AV59-AT61-AU61-AV61-AR59,0))</f>
      </c>
      <c r="AS65" s="391"/>
      <c r="AT65" s="1076" t="e">
        <f ca="1">IF(INDIRECT("E"&amp;AN59)&lt;&gt;"","-",IF(AND(AP65=LARGE($AP$65:$AR$65,1),AP65&gt;0),"g","-"))</f>
        <v>#REF!</v>
      </c>
      <c r="AU65" s="1076" t="e">
        <f ca="1">IF(INDIRECT("E"&amp;AN59)&lt;&gt;"","-",IF(AND(AQ65=LARGE($AP$65:$AR$65,1),AQ65&gt;0),"g","-"))</f>
        <v>#REF!</v>
      </c>
      <c r="AV65" s="1076" t="e">
        <f ca="1">IF(INDIRECT("E"&amp;AN59)&lt;&gt;"","-",IF(AND(AR65=LARGE($AP$65:$AR$65,1),AR65&gt;0),"g","-"))</f>
        <v>#REF!</v>
      </c>
      <c r="AW65" s="391"/>
      <c r="AX65" s="391"/>
      <c r="AY65" s="391"/>
      <c r="AZ65" s="391"/>
      <c r="BA65" s="391"/>
      <c r="BB65" s="391"/>
      <c r="BC65" s="391"/>
      <c r="BD65" s="391"/>
      <c r="BE65" s="391"/>
      <c r="BF65" s="391"/>
      <c r="BG65" s="391"/>
      <c r="BH65" s="391"/>
      <c r="BI65" s="391"/>
      <c r="BJ65" s="391"/>
      <c r="BK65" s="391"/>
      <c r="BL65" s="568"/>
      <c r="BM65" s="391"/>
      <c r="BN65" s="391"/>
      <c r="BO65" s="391"/>
      <c r="BP65" s="391"/>
      <c r="BQ65" s="313">
        <f t="shared" si="140"/>
        <v>0</v>
      </c>
      <c r="BR65" s="567">
        <f t="shared" si="141"/>
        <v>0</v>
      </c>
      <c r="BS65" s="567">
        <f t="shared" si="142"/>
        <v>0</v>
      </c>
      <c r="BT65" s="644"/>
      <c r="BU65" s="644"/>
      <c r="BV65" s="644"/>
      <c r="BW65" s="644"/>
      <c r="BX65" s="570"/>
      <c r="BY65" s="1072">
        <f t="shared" si="148"/>
      </c>
      <c r="BZ65" s="393"/>
      <c r="CA65" s="842">
        <f t="shared" si="158"/>
      </c>
      <c r="CB65" s="842">
        <f t="shared" si="159"/>
      </c>
      <c r="CC65" s="842">
        <f t="shared" si="160"/>
      </c>
      <c r="CD65" s="842">
        <f t="shared" si="161"/>
      </c>
      <c r="CE65" s="919"/>
      <c r="CF65" s="1033">
        <f t="shared" si="149"/>
      </c>
      <c r="CG65" s="1033">
        <f t="shared" si="150"/>
      </c>
      <c r="CH65" s="1033">
        <f t="shared" si="151"/>
      </c>
      <c r="CI65" s="1033">
        <f t="shared" si="152"/>
      </c>
      <c r="CJ65" s="393"/>
      <c r="CK65" s="919"/>
      <c r="CL65" s="393"/>
      <c r="CM65" s="684"/>
      <c r="CN65" s="672"/>
      <c r="CO65" s="261" t="str">
        <f t="shared" si="143"/>
        <v>(L)</v>
      </c>
      <c r="CP65" s="262">
        <f t="shared" si="144"/>
      </c>
      <c r="CQ65" s="261"/>
      <c r="CR65" s="262"/>
      <c r="CS65" s="408">
        <f>""</f>
      </c>
      <c r="CT65" s="409">
        <f>""</f>
      </c>
      <c r="CU65" s="409">
        <f>""</f>
      </c>
      <c r="CV65" s="860">
        <f>""</f>
      </c>
      <c r="CW65" s="861">
        <f>IF($EV65="","",COUNT(#REF!))</f>
      </c>
      <c r="CX65" s="420">
        <f t="shared" si="154"/>
        <v>0</v>
      </c>
      <c r="CY65" s="494">
        <f t="shared" si="155"/>
      </c>
      <c r="CZ65" s="39"/>
      <c r="DA65" s="380"/>
      <c r="DB65" s="380"/>
      <c r="DC65" s="380"/>
      <c r="DD65" s="33"/>
      <c r="DE65" s="71">
        <f t="shared" si="156"/>
        <v>0</v>
      </c>
      <c r="DF65" s="71" t="str">
        <f t="shared" si="157"/>
        <v>0</v>
      </c>
      <c r="DG65" s="393"/>
      <c r="DH65" s="393"/>
      <c r="DI65" s="919"/>
      <c r="DJ65" s="393"/>
      <c r="DK65" s="393"/>
      <c r="DL65" s="393"/>
      <c r="DM65" s="393"/>
      <c r="DN65" s="393"/>
      <c r="DO65" s="919"/>
      <c r="DP65" s="393"/>
      <c r="DQ65" s="393"/>
      <c r="DR65" s="393"/>
      <c r="DS65" s="393"/>
      <c r="DT65" s="393"/>
      <c r="DU65" s="919"/>
      <c r="DV65" s="393"/>
      <c r="DW65" s="393"/>
      <c r="DX65" s="393"/>
      <c r="DY65" s="393"/>
      <c r="DZ65" s="393"/>
      <c r="EA65" s="919"/>
      <c r="EB65" s="393"/>
      <c r="EC65" s="393"/>
      <c r="ED65" s="393"/>
      <c r="EE65" s="393"/>
      <c r="EF65" s="393"/>
      <c r="EG65" s="919"/>
      <c r="EH65" s="393"/>
      <c r="EI65" s="393"/>
      <c r="EJ65" s="393"/>
      <c r="EK65" s="393"/>
      <c r="EL65" s="393"/>
      <c r="EM65" s="393"/>
      <c r="EN65" s="919"/>
      <c r="EO65" s="393"/>
      <c r="EP65" s="393"/>
      <c r="EQ65" s="393"/>
      <c r="ER65" s="393"/>
      <c r="ES65" s="393"/>
      <c r="ET65" s="393"/>
      <c r="EU65" s="393"/>
      <c r="EV65" s="393"/>
      <c r="EW65" s="393"/>
      <c r="EX65" s="393"/>
      <c r="EY65" s="570"/>
      <c r="EZ65" s="570"/>
      <c r="FA65" s="324"/>
      <c r="FB65" s="393"/>
      <c r="FC65" s="393"/>
      <c r="FD65" s="393"/>
      <c r="FE65" s="393"/>
      <c r="FF65" s="324"/>
      <c r="FG65" s="324"/>
      <c r="FH65" s="324"/>
      <c r="FI65" s="324"/>
      <c r="FJ65" s="324"/>
      <c r="FK65" s="324"/>
      <c r="FL65" s="324"/>
      <c r="FM65" s="324"/>
      <c r="FN65" s="324"/>
      <c r="FO65" s="324"/>
      <c r="FP65" s="324"/>
      <c r="FQ65" s="579"/>
      <c r="FR65" s="579"/>
      <c r="FS65" s="579"/>
      <c r="FT65" s="579"/>
      <c r="FU65" s="579"/>
      <c r="FV65" s="579"/>
      <c r="FW65" s="579"/>
      <c r="FX65" s="579"/>
      <c r="FY65" s="324"/>
      <c r="FZ65" s="579"/>
      <c r="GA65" s="579"/>
      <c r="GB65" s="579"/>
      <c r="GC65" s="579"/>
      <c r="GD65" s="324"/>
      <c r="GE65" s="324"/>
      <c r="GF65" s="324"/>
      <c r="GG65" s="324"/>
      <c r="GH65" s="324"/>
      <c r="GI65" s="324"/>
      <c r="GJ65" s="71"/>
      <c r="GK65" s="71"/>
      <c r="GL65" s="324"/>
      <c r="GM65" s="324"/>
      <c r="GN65" s="324"/>
      <c r="GO65" s="324"/>
      <c r="GP65" s="324"/>
      <c r="GQ65" s="324"/>
      <c r="GR65" s="324"/>
      <c r="GS65" s="324"/>
      <c r="GT65" s="324"/>
      <c r="GU65" s="324"/>
      <c r="GV65" s="324"/>
      <c r="GW65" s="393"/>
      <c r="GX65" s="393"/>
      <c r="GY65" s="393"/>
      <c r="GZ65" s="393"/>
      <c r="HA65" s="324"/>
      <c r="HB65" s="324"/>
      <c r="HC65" s="324"/>
      <c r="HD65" s="324"/>
      <c r="HE65" s="324"/>
      <c r="HF65" s="324"/>
      <c r="HG65" s="393"/>
      <c r="HH65" s="393"/>
      <c r="HI65" s="393"/>
      <c r="HJ65" s="393"/>
      <c r="HK65" s="393"/>
      <c r="HL65" s="393"/>
      <c r="HM65" s="324"/>
      <c r="HN65" s="324"/>
    </row>
    <row r="66" spans="23:222" ht="15">
      <c r="W66" s="570"/>
      <c r="X66" s="64"/>
      <c r="Y66" s="64"/>
      <c r="Z66" s="570"/>
      <c r="AA66" s="736"/>
      <c r="AB66" s="736"/>
      <c r="AC66" s="736"/>
      <c r="AD66" s="736"/>
      <c r="AE66" s="255"/>
      <c r="AF66" s="255"/>
      <c r="AG66" s="255"/>
      <c r="AH66" s="255"/>
      <c r="AI66" s="391"/>
      <c r="AJ66" s="391"/>
      <c r="AK66" s="570"/>
      <c r="AL66" s="568"/>
      <c r="AM66" s="1076" t="s">
        <v>391</v>
      </c>
      <c r="AN66" s="1221"/>
      <c r="AO66" s="1086"/>
      <c r="AP66" s="1086">
        <f>IF(AL61="","",IF(AR60&lt;AZ60-AZ61,AZ60-AZ61-AR60,0))</f>
      </c>
      <c r="AQ66" s="1076"/>
      <c r="AR66" s="1086"/>
      <c r="AS66" s="391"/>
      <c r="AT66" s="391"/>
      <c r="AU66" s="391"/>
      <c r="AV66" s="391"/>
      <c r="AW66" s="391"/>
      <c r="AX66" s="1082" t="s">
        <v>486</v>
      </c>
      <c r="AY66" s="1126"/>
      <c r="AZ66" s="391"/>
      <c r="BA66" s="391"/>
      <c r="BB66" s="391"/>
      <c r="BC66" s="391"/>
      <c r="BD66" s="391"/>
      <c r="BE66" s="391"/>
      <c r="BF66" s="391"/>
      <c r="BG66" s="391"/>
      <c r="BH66" s="391"/>
      <c r="BI66" s="391"/>
      <c r="BJ66" s="391" t="s">
        <v>387</v>
      </c>
      <c r="BK66" s="391"/>
      <c r="BL66" s="568"/>
      <c r="BM66" s="44">
        <f aca="true" t="shared" si="162" ref="BM66:BP71">BM15</f>
      </c>
      <c r="BN66" s="44">
        <f t="shared" si="162"/>
      </c>
      <c r="BO66" s="44">
        <f t="shared" si="162"/>
      </c>
      <c r="BP66" s="44">
        <f t="shared" si="162"/>
      </c>
      <c r="BQ66" s="313">
        <f t="shared" si="140"/>
        <v>0</v>
      </c>
      <c r="BR66" s="567">
        <f t="shared" si="141"/>
        <v>0</v>
      </c>
      <c r="BS66" s="567">
        <f t="shared" si="142"/>
        <v>0</v>
      </c>
      <c r="BT66" s="842">
        <f aca="true" t="shared" si="163" ref="BT66:BW72">IF(OR(BM66&lt;&gt;"",H15="",$AA15&lt;&gt;0),"",H15)</f>
      </c>
      <c r="BU66" s="842">
        <f t="shared" si="163"/>
      </c>
      <c r="BV66" s="842">
        <f t="shared" si="163"/>
      </c>
      <c r="BW66" s="842">
        <f t="shared" si="163"/>
      </c>
      <c r="BX66" s="393"/>
      <c r="BY66" s="1072">
        <f t="shared" si="148"/>
      </c>
      <c r="BZ66" s="393"/>
      <c r="CA66" s="842">
        <f t="shared" si="158"/>
      </c>
      <c r="CB66" s="842">
        <f t="shared" si="159"/>
      </c>
      <c r="CC66" s="842">
        <f t="shared" si="160"/>
      </c>
      <c r="CD66" s="842">
        <f t="shared" si="161"/>
      </c>
      <c r="CE66" s="919"/>
      <c r="CF66" s="1033">
        <f t="shared" si="149"/>
      </c>
      <c r="CG66" s="1033">
        <f t="shared" si="150"/>
      </c>
      <c r="CH66" s="1033">
        <f t="shared" si="151"/>
      </c>
      <c r="CI66" s="1033">
        <f t="shared" si="152"/>
      </c>
      <c r="CJ66" s="393"/>
      <c r="CK66" s="919"/>
      <c r="CL66" s="393"/>
      <c r="CM66" s="684"/>
      <c r="CN66" s="672"/>
      <c r="CO66" s="259" t="str">
        <f t="shared" si="143"/>
        <v>KU</v>
      </c>
      <c r="CP66" s="260">
        <f t="shared" si="144"/>
      </c>
      <c r="CQ66" s="259"/>
      <c r="CR66" s="260"/>
      <c r="CS66" s="345">
        <f aca="true" t="shared" si="164" ref="CS66:CV72">IF(OR($Z15="",H15=""),"",IF(BM66&lt;&gt;"",BM66,IF(CF66&lt;&gt;"",CF66,"("&amp;H15&amp;")")))</f>
      </c>
      <c r="CT66" s="345">
        <f t="shared" si="164"/>
      </c>
      <c r="CU66" s="345">
        <f t="shared" si="164"/>
      </c>
      <c r="CV66" s="345">
        <f t="shared" si="164"/>
      </c>
      <c r="CW66" s="50">
        <f aca="true" t="shared" si="165" ref="CW66:CW71">IF(CO66="","",COUNTA(CS66:CV66)-COUNTIF(CS66:CV66,""))</f>
        <v>0</v>
      </c>
      <c r="CX66" s="69">
        <f t="shared" si="154"/>
        <v>0</v>
      </c>
      <c r="CY66" s="70">
        <f t="shared" si="155"/>
      </c>
      <c r="CZ66" s="39"/>
      <c r="DA66" s="380"/>
      <c r="DB66" s="380"/>
      <c r="DC66" s="380"/>
      <c r="DD66" s="33"/>
      <c r="DE66" s="71">
        <f t="shared" si="156"/>
        <v>0</v>
      </c>
      <c r="DF66" s="71" t="str">
        <f t="shared" si="157"/>
        <v>0</v>
      </c>
      <c r="DG66" s="393"/>
      <c r="DH66" s="393"/>
      <c r="DI66" s="919"/>
      <c r="DJ66" s="393"/>
      <c r="DK66" s="393"/>
      <c r="DL66" s="393"/>
      <c r="DM66" s="393"/>
      <c r="DN66" s="393"/>
      <c r="DO66" s="919"/>
      <c r="DP66" s="393"/>
      <c r="DQ66" s="393"/>
      <c r="DR66" s="393"/>
      <c r="DS66" s="393"/>
      <c r="DT66" s="393"/>
      <c r="DU66" s="919"/>
      <c r="DV66" s="393"/>
      <c r="DW66" s="393"/>
      <c r="DX66" s="393"/>
      <c r="DY66" s="393"/>
      <c r="DZ66" s="393"/>
      <c r="EA66" s="919"/>
      <c r="EB66" s="393"/>
      <c r="EC66" s="393"/>
      <c r="ED66" s="393"/>
      <c r="EE66" s="393"/>
      <c r="EF66" s="393"/>
      <c r="EG66" s="919"/>
      <c r="EH66" s="393"/>
      <c r="EI66" s="393"/>
      <c r="EJ66" s="393"/>
      <c r="EK66" s="393"/>
      <c r="EL66" s="393"/>
      <c r="EM66" s="393"/>
      <c r="EN66" s="919"/>
      <c r="EO66" s="393"/>
      <c r="EP66" s="393"/>
      <c r="EQ66" s="393"/>
      <c r="ER66" s="393"/>
      <c r="ES66" s="393"/>
      <c r="ET66" s="393"/>
      <c r="EU66" s="393"/>
      <c r="EV66" s="393"/>
      <c r="EW66" s="393"/>
      <c r="EX66" s="393"/>
      <c r="EY66" s="570"/>
      <c r="EZ66" s="570"/>
      <c r="FA66" s="324"/>
      <c r="FB66" s="393"/>
      <c r="FC66" s="393"/>
      <c r="FD66" s="393"/>
      <c r="FE66" s="393"/>
      <c r="FF66" s="324"/>
      <c r="FG66" s="324"/>
      <c r="FH66" s="324"/>
      <c r="FI66" s="324"/>
      <c r="FJ66" s="324"/>
      <c r="FK66" s="324"/>
      <c r="FL66" s="324"/>
      <c r="FM66" s="324"/>
      <c r="FN66" s="324"/>
      <c r="FO66" s="324"/>
      <c r="FP66" s="324"/>
      <c r="FQ66" s="579"/>
      <c r="FR66" s="579"/>
      <c r="FS66" s="579"/>
      <c r="FT66" s="579"/>
      <c r="FU66" s="579"/>
      <c r="FV66" s="579"/>
      <c r="FW66" s="579"/>
      <c r="FX66" s="579"/>
      <c r="FY66" s="324"/>
      <c r="FZ66" s="579"/>
      <c r="GA66" s="579"/>
      <c r="GB66" s="579"/>
      <c r="GC66" s="579"/>
      <c r="GD66" s="324"/>
      <c r="GE66" s="324"/>
      <c r="GF66" s="324"/>
      <c r="GG66" s="324"/>
      <c r="GH66" s="324"/>
      <c r="GI66" s="324"/>
      <c r="GJ66" s="71"/>
      <c r="GK66" s="71"/>
      <c r="GL66" s="324"/>
      <c r="GM66" s="324"/>
      <c r="GN66" s="324"/>
      <c r="GO66" s="324"/>
      <c r="GP66" s="324"/>
      <c r="GQ66" s="324"/>
      <c r="GR66" s="324"/>
      <c r="GS66" s="324"/>
      <c r="GT66" s="324"/>
      <c r="GU66" s="324"/>
      <c r="GV66" s="324"/>
      <c r="GW66" s="393"/>
      <c r="GX66" s="393"/>
      <c r="GY66" s="393"/>
      <c r="GZ66" s="393"/>
      <c r="HA66" s="324"/>
      <c r="HB66" s="324"/>
      <c r="HC66" s="324"/>
      <c r="HD66" s="324"/>
      <c r="HE66" s="324"/>
      <c r="HF66" s="324"/>
      <c r="HG66" s="393"/>
      <c r="HH66" s="393"/>
      <c r="HI66" s="393"/>
      <c r="HJ66" s="393"/>
      <c r="HK66" s="393"/>
      <c r="HL66" s="393"/>
      <c r="HM66" s="324"/>
      <c r="HN66" s="324"/>
    </row>
    <row r="67" spans="23:222" ht="15">
      <c r="W67" s="570"/>
      <c r="X67" s="255"/>
      <c r="Y67" s="64"/>
      <c r="Z67" s="570"/>
      <c r="AA67" s="736"/>
      <c r="AB67" s="736"/>
      <c r="AC67" s="736"/>
      <c r="AD67" s="736"/>
      <c r="AE67" s="255"/>
      <c r="AF67" s="255"/>
      <c r="AG67" s="255"/>
      <c r="AH67" s="255"/>
      <c r="AI67" s="391"/>
      <c r="AJ67" s="391"/>
      <c r="AK67" s="570"/>
      <c r="AL67" s="568"/>
      <c r="AM67" s="585"/>
      <c r="AN67" s="1075"/>
      <c r="AO67" s="585"/>
      <c r="AP67" s="585"/>
      <c r="AQ67" s="585"/>
      <c r="AR67" s="391"/>
      <c r="AS67" s="255"/>
      <c r="AT67" s="595"/>
      <c r="AU67" s="255"/>
      <c r="AV67" s="255"/>
      <c r="AW67" s="391"/>
      <c r="AX67" s="1083"/>
      <c r="AY67" s="1085" t="s">
        <v>487</v>
      </c>
      <c r="AZ67" s="391"/>
      <c r="BA67" s="391"/>
      <c r="BB67" s="391"/>
      <c r="BC67" s="391"/>
      <c r="BD67" s="391"/>
      <c r="BE67" s="391"/>
      <c r="BF67" s="391"/>
      <c r="BG67" s="391"/>
      <c r="BH67" s="391"/>
      <c r="BI67" s="391"/>
      <c r="BJ67" s="391"/>
      <c r="BK67" s="391"/>
      <c r="BL67" s="568"/>
      <c r="BM67" s="44">
        <f t="shared" si="162"/>
      </c>
      <c r="BN67" s="44">
        <f t="shared" si="162"/>
      </c>
      <c r="BO67" s="44">
        <f t="shared" si="162"/>
      </c>
      <c r="BP67" s="44">
        <f t="shared" si="162"/>
      </c>
      <c r="BQ67" s="313">
        <f t="shared" si="140"/>
        <v>0</v>
      </c>
      <c r="BR67" s="567">
        <f t="shared" si="141"/>
        <v>0</v>
      </c>
      <c r="BS67" s="567">
        <f t="shared" si="142"/>
        <v>0</v>
      </c>
      <c r="BT67" s="842">
        <f t="shared" si="163"/>
      </c>
      <c r="BU67" s="842">
        <f t="shared" si="163"/>
      </c>
      <c r="BV67" s="842">
        <f t="shared" si="163"/>
      </c>
      <c r="BW67" s="842">
        <f t="shared" si="163"/>
      </c>
      <c r="BX67" s="393"/>
      <c r="BY67" s="1072">
        <f t="shared" si="148"/>
      </c>
      <c r="BZ67" s="393"/>
      <c r="CA67" s="842">
        <f t="shared" si="158"/>
      </c>
      <c r="CB67" s="842">
        <f t="shared" si="159"/>
      </c>
      <c r="CC67" s="842">
        <f t="shared" si="160"/>
      </c>
      <c r="CD67" s="842">
        <f t="shared" si="161"/>
      </c>
      <c r="CE67" s="919"/>
      <c r="CF67" s="1033">
        <f t="shared" si="149"/>
      </c>
      <c r="CG67" s="1033">
        <f t="shared" si="150"/>
      </c>
      <c r="CH67" s="1033">
        <f t="shared" si="151"/>
      </c>
      <c r="CI67" s="1033">
        <f t="shared" si="152"/>
      </c>
      <c r="CJ67" s="393"/>
      <c r="CK67" s="919"/>
      <c r="CL67" s="393"/>
      <c r="CM67" s="684"/>
      <c r="CN67" s="672"/>
      <c r="CO67" s="259">
        <f t="shared" si="143"/>
      </c>
      <c r="CP67" s="260">
        <f t="shared" si="144"/>
      </c>
      <c r="CQ67" s="259"/>
      <c r="CR67" s="260"/>
      <c r="CS67" s="345">
        <f t="shared" si="164"/>
      </c>
      <c r="CT67" s="345">
        <f t="shared" si="164"/>
      </c>
      <c r="CU67" s="345">
        <f t="shared" si="164"/>
      </c>
      <c r="CV67" s="345">
        <f t="shared" si="164"/>
      </c>
      <c r="CW67" s="50">
        <f t="shared" si="165"/>
      </c>
      <c r="CX67" s="69">
        <f t="shared" si="154"/>
      </c>
      <c r="CY67" s="70">
        <f t="shared" si="155"/>
      </c>
      <c r="CZ67" s="39"/>
      <c r="DA67" s="380"/>
      <c r="DB67" s="380"/>
      <c r="DC67" s="380"/>
      <c r="DD67" s="33"/>
      <c r="DE67" s="71">
        <f t="shared" si="156"/>
        <v>0</v>
      </c>
      <c r="DF67" s="71" t="str">
        <f t="shared" si="157"/>
        <v>0</v>
      </c>
      <c r="DG67" s="393"/>
      <c r="DH67" s="393"/>
      <c r="DI67" s="919"/>
      <c r="DJ67" s="393"/>
      <c r="DK67" s="393"/>
      <c r="DL67" s="393"/>
      <c r="DM67" s="393"/>
      <c r="DN67" s="393"/>
      <c r="DO67" s="919"/>
      <c r="DP67" s="393"/>
      <c r="DQ67" s="393"/>
      <c r="DR67" s="393"/>
      <c r="DS67" s="393"/>
      <c r="DT67" s="393"/>
      <c r="DU67" s="919"/>
      <c r="DV67" s="393"/>
      <c r="DW67" s="393"/>
      <c r="DX67" s="393"/>
      <c r="DY67" s="393"/>
      <c r="DZ67" s="393"/>
      <c r="EA67" s="919"/>
      <c r="EB67" s="393"/>
      <c r="EC67" s="393"/>
      <c r="ED67" s="393"/>
      <c r="EE67" s="393"/>
      <c r="EF67" s="393"/>
      <c r="EG67" s="919"/>
      <c r="EH67" s="393"/>
      <c r="EI67" s="393"/>
      <c r="EJ67" s="393"/>
      <c r="EK67" s="393"/>
      <c r="EL67" s="393"/>
      <c r="EM67" s="393"/>
      <c r="EN67" s="919"/>
      <c r="EO67" s="393"/>
      <c r="EP67" s="393"/>
      <c r="EQ67" s="393"/>
      <c r="ER67" s="393"/>
      <c r="ES67" s="393"/>
      <c r="ET67" s="393"/>
      <c r="EU67" s="393"/>
      <c r="EV67" s="393"/>
      <c r="EW67" s="393"/>
      <c r="EX67" s="393"/>
      <c r="EY67" s="570"/>
      <c r="EZ67" s="570"/>
      <c r="FA67" s="324"/>
      <c r="FB67" s="393"/>
      <c r="FC67" s="393"/>
      <c r="FD67" s="393"/>
      <c r="FE67" s="393"/>
      <c r="FF67" s="324"/>
      <c r="FG67" s="324"/>
      <c r="FH67" s="324"/>
      <c r="FI67" s="324"/>
      <c r="FJ67" s="324"/>
      <c r="FK67" s="324"/>
      <c r="FL67" s="324"/>
      <c r="FM67" s="324"/>
      <c r="FN67" s="324"/>
      <c r="FO67" s="324"/>
      <c r="FP67" s="324"/>
      <c r="FQ67" s="579"/>
      <c r="FR67" s="579"/>
      <c r="FS67" s="579"/>
      <c r="FT67" s="579"/>
      <c r="FU67" s="579"/>
      <c r="FV67" s="579"/>
      <c r="FW67" s="579"/>
      <c r="FX67" s="579"/>
      <c r="FY67" s="324"/>
      <c r="FZ67" s="579"/>
      <c r="GA67" s="579"/>
      <c r="GB67" s="579"/>
      <c r="GC67" s="579"/>
      <c r="GD67" s="324"/>
      <c r="GE67" s="324"/>
      <c r="GF67" s="324"/>
      <c r="GG67" s="324"/>
      <c r="GH67" s="324"/>
      <c r="GI67" s="324"/>
      <c r="GJ67" s="71"/>
      <c r="GK67" s="71"/>
      <c r="GL67" s="324"/>
      <c r="GM67" s="324"/>
      <c r="GN67" s="324"/>
      <c r="GO67" s="324"/>
      <c r="GP67" s="324"/>
      <c r="GQ67" s="324"/>
      <c r="GR67" s="324"/>
      <c r="GS67" s="324"/>
      <c r="GT67" s="324"/>
      <c r="GU67" s="324"/>
      <c r="GV67" s="324"/>
      <c r="GW67" s="393"/>
      <c r="GX67" s="393"/>
      <c r="GY67" s="393"/>
      <c r="GZ67" s="393"/>
      <c r="HA67" s="324"/>
      <c r="HB67" s="324"/>
      <c r="HC67" s="324"/>
      <c r="HD67" s="324"/>
      <c r="HE67" s="324"/>
      <c r="HF67" s="324"/>
      <c r="HG67" s="393"/>
      <c r="HH67" s="393"/>
      <c r="HI67" s="393"/>
      <c r="HJ67" s="393"/>
      <c r="HK67" s="393"/>
      <c r="HL67" s="393"/>
      <c r="HM67" s="324"/>
      <c r="HN67" s="324"/>
    </row>
    <row r="68" spans="23:222" ht="15">
      <c r="W68" s="570"/>
      <c r="X68" s="64"/>
      <c r="Y68" s="64"/>
      <c r="Z68" s="570"/>
      <c r="AA68" s="736"/>
      <c r="AB68" s="736"/>
      <c r="AC68" s="736"/>
      <c r="AD68" s="736"/>
      <c r="AE68" s="255"/>
      <c r="AF68" s="255"/>
      <c r="AG68" s="255"/>
      <c r="AH68" s="255"/>
      <c r="AI68" s="391"/>
      <c r="AJ68" s="391"/>
      <c r="AK68" s="570"/>
      <c r="AL68" s="568"/>
      <c r="AM68" s="585" t="s">
        <v>510</v>
      </c>
      <c r="AN68" s="585"/>
      <c r="AO68" s="585" t="s">
        <v>513</v>
      </c>
      <c r="AP68" s="585" t="s">
        <v>512</v>
      </c>
      <c r="AQ68" s="1223" t="s">
        <v>511</v>
      </c>
      <c r="AS68" s="568"/>
      <c r="AU68" s="391"/>
      <c r="AV68" s="391"/>
      <c r="AW68" s="391"/>
      <c r="AX68" s="1084">
        <f>CU40</f>
        <v>0</v>
      </c>
      <c r="AY68" s="1086">
        <f>CW38</f>
        <v>0</v>
      </c>
      <c r="AZ68" s="391"/>
      <c r="BA68" s="391"/>
      <c r="BB68" s="391"/>
      <c r="BC68" s="391"/>
      <c r="BD68" s="391"/>
      <c r="BE68" s="391"/>
      <c r="BF68" s="391"/>
      <c r="BG68" s="391"/>
      <c r="BH68" s="391"/>
      <c r="BI68" s="391"/>
      <c r="BJ68" s="391"/>
      <c r="BK68" s="391"/>
      <c r="BL68" s="568"/>
      <c r="BM68" s="44">
        <f t="shared" si="162"/>
      </c>
      <c r="BN68" s="44">
        <f t="shared" si="162"/>
      </c>
      <c r="BO68" s="44">
        <f t="shared" si="162"/>
      </c>
      <c r="BP68" s="44">
        <f t="shared" si="162"/>
      </c>
      <c r="BQ68" s="313">
        <f t="shared" si="140"/>
        <v>0</v>
      </c>
      <c r="BR68" s="567">
        <f t="shared" si="141"/>
        <v>0</v>
      </c>
      <c r="BS68" s="567">
        <f t="shared" si="142"/>
        <v>0</v>
      </c>
      <c r="BT68" s="842">
        <f t="shared" si="163"/>
      </c>
      <c r="BU68" s="842">
        <f t="shared" si="163"/>
      </c>
      <c r="BV68" s="842">
        <f t="shared" si="163"/>
      </c>
      <c r="BW68" s="842">
        <f t="shared" si="163"/>
      </c>
      <c r="BX68" s="393"/>
      <c r="BY68" s="1072">
        <f t="shared" si="148"/>
      </c>
      <c r="BZ68" s="393"/>
      <c r="CA68" s="842">
        <f t="shared" si="158"/>
      </c>
      <c r="CB68" s="842">
        <f t="shared" si="159"/>
      </c>
      <c r="CC68" s="842">
        <f t="shared" si="160"/>
      </c>
      <c r="CD68" s="842">
        <f t="shared" si="161"/>
      </c>
      <c r="CE68" s="919"/>
      <c r="CF68" s="1033">
        <f t="shared" si="149"/>
      </c>
      <c r="CG68" s="1033">
        <f t="shared" si="150"/>
      </c>
      <c r="CH68" s="1033">
        <f t="shared" si="151"/>
      </c>
      <c r="CI68" s="1033">
        <f t="shared" si="152"/>
      </c>
      <c r="CJ68" s="393"/>
      <c r="CK68" s="919"/>
      <c r="CL68" s="393"/>
      <c r="CM68" s="684"/>
      <c r="CN68" s="672"/>
      <c r="CO68" s="261">
        <f t="shared" si="143"/>
      </c>
      <c r="CP68" s="262">
        <f t="shared" si="144"/>
      </c>
      <c r="CQ68" s="261"/>
      <c r="CR68" s="262"/>
      <c r="CS68" s="346">
        <f t="shared" si="164"/>
      </c>
      <c r="CT68" s="347">
        <f t="shared" si="164"/>
      </c>
      <c r="CU68" s="347">
        <f t="shared" si="164"/>
      </c>
      <c r="CV68" s="347">
        <f t="shared" si="164"/>
      </c>
      <c r="CW68" s="565">
        <f t="shared" si="165"/>
      </c>
      <c r="CX68" s="420">
        <f t="shared" si="154"/>
      </c>
      <c r="CY68" s="494">
        <f t="shared" si="155"/>
      </c>
      <c r="CZ68" s="33"/>
      <c r="DA68" s="74"/>
      <c r="DB68" s="33"/>
      <c r="DC68" s="75"/>
      <c r="DD68" s="33"/>
      <c r="DE68" s="71">
        <f t="shared" si="156"/>
        <v>0</v>
      </c>
      <c r="DF68" s="71" t="str">
        <f t="shared" si="157"/>
        <v>0</v>
      </c>
      <c r="DG68" s="393"/>
      <c r="DH68" s="393"/>
      <c r="DI68" s="919"/>
      <c r="DJ68" s="393"/>
      <c r="DK68" s="393"/>
      <c r="DL68" s="393"/>
      <c r="DM68" s="393"/>
      <c r="DN68" s="393"/>
      <c r="DO68" s="919"/>
      <c r="DP68" s="393"/>
      <c r="DQ68" s="393"/>
      <c r="DR68" s="393"/>
      <c r="DS68" s="393"/>
      <c r="DT68" s="393"/>
      <c r="DU68" s="919"/>
      <c r="DV68" s="393"/>
      <c r="DW68" s="393"/>
      <c r="DX68" s="393"/>
      <c r="DY68" s="393"/>
      <c r="DZ68" s="393"/>
      <c r="EA68" s="919"/>
      <c r="EB68" s="393"/>
      <c r="EC68" s="393"/>
      <c r="ED68" s="393"/>
      <c r="EE68" s="393"/>
      <c r="EF68" s="393"/>
      <c r="EG68" s="919"/>
      <c r="EH68" s="393"/>
      <c r="EI68" s="393"/>
      <c r="EJ68" s="393"/>
      <c r="EK68" s="393"/>
      <c r="EL68" s="393"/>
      <c r="EM68" s="393"/>
      <c r="EN68" s="919"/>
      <c r="EO68" s="393"/>
      <c r="EP68" s="393"/>
      <c r="EQ68" s="393"/>
      <c r="ER68" s="393"/>
      <c r="ES68" s="393"/>
      <c r="ET68" s="393"/>
      <c r="EU68" s="393"/>
      <c r="EV68" s="393"/>
      <c r="EW68" s="393"/>
      <c r="EX68" s="393"/>
      <c r="EY68" s="570"/>
      <c r="EZ68" s="570"/>
      <c r="FA68" s="324"/>
      <c r="FB68" s="393"/>
      <c r="FC68" s="393"/>
      <c r="FD68" s="393"/>
      <c r="FE68" s="393"/>
      <c r="FF68" s="324"/>
      <c r="FG68" s="324"/>
      <c r="FH68" s="324"/>
      <c r="FI68" s="324"/>
      <c r="FJ68" s="324"/>
      <c r="FK68" s="324"/>
      <c r="FL68" s="324"/>
      <c r="FM68" s="324"/>
      <c r="FN68" s="324"/>
      <c r="FO68" s="324"/>
      <c r="FP68" s="324"/>
      <c r="FQ68" s="579"/>
      <c r="FR68" s="579"/>
      <c r="FS68" s="579"/>
      <c r="FT68" s="579"/>
      <c r="FU68" s="579"/>
      <c r="FV68" s="579"/>
      <c r="FW68" s="579"/>
      <c r="FX68" s="579"/>
      <c r="FY68" s="324"/>
      <c r="FZ68" s="579"/>
      <c r="GA68" s="579"/>
      <c r="GB68" s="579"/>
      <c r="GC68" s="579"/>
      <c r="GD68" s="324"/>
      <c r="GE68" s="324"/>
      <c r="GF68" s="324"/>
      <c r="GG68" s="324"/>
      <c r="GH68" s="324"/>
      <c r="GI68" s="324"/>
      <c r="GJ68" s="71"/>
      <c r="GK68" s="71"/>
      <c r="GL68" s="324"/>
      <c r="GM68" s="324"/>
      <c r="GN68" s="324"/>
      <c r="GO68" s="324"/>
      <c r="GP68" s="324"/>
      <c r="GQ68" s="324"/>
      <c r="GR68" s="324"/>
      <c r="GS68" s="324"/>
      <c r="GT68" s="324"/>
      <c r="GU68" s="324"/>
      <c r="GV68" s="324"/>
      <c r="GW68" s="393"/>
      <c r="GX68" s="393"/>
      <c r="GY68" s="393"/>
      <c r="GZ68" s="393"/>
      <c r="HA68" s="324"/>
      <c r="HB68" s="324"/>
      <c r="HC68" s="324"/>
      <c r="HD68" s="324"/>
      <c r="HE68" s="324"/>
      <c r="HF68" s="324"/>
      <c r="HG68" s="393"/>
      <c r="HH68" s="393"/>
      <c r="HI68" s="393"/>
      <c r="HJ68" s="393"/>
      <c r="HK68" s="393"/>
      <c r="HL68" s="393"/>
      <c r="HM68" s="324"/>
      <c r="HN68" s="324"/>
    </row>
    <row r="69" spans="23:222" ht="18">
      <c r="W69" s="570"/>
      <c r="X69" s="255"/>
      <c r="Y69" s="64"/>
      <c r="Z69" s="570"/>
      <c r="AA69" s="736"/>
      <c r="AB69" s="736"/>
      <c r="AC69" s="736"/>
      <c r="AD69" s="736"/>
      <c r="AE69" s="255"/>
      <c r="AF69" s="255"/>
      <c r="AG69" s="255"/>
      <c r="AH69" s="255"/>
      <c r="AI69" s="391"/>
      <c r="AJ69" s="391"/>
      <c r="AK69" s="570"/>
      <c r="AL69" s="1220" t="e">
        <f ca="1">INDIRECT("Z"&amp;AN69)</f>
        <v>#REF!</v>
      </c>
      <c r="AM69" s="1220" t="s">
        <v>390</v>
      </c>
      <c r="AN69" s="1088">
        <f>A14</f>
      </c>
      <c r="AO69" s="1088">
        <f ca="1">SUM(INDIRECT("H"&amp;AN69&amp;":K"&amp;AN69))</f>
        <v>0</v>
      </c>
      <c r="AP69" s="1222">
        <f ca="1">SUM(INDIRECT("J"&amp;AN69&amp;":K"&amp;AN69))</f>
        <v>0</v>
      </c>
      <c r="AQ69" s="1081">
        <f ca="1">LARGE(INDIRECT("H"&amp;AN69&amp;":I"&amp;AN69),$AT$58)</f>
        <v>0</v>
      </c>
      <c r="AR69" s="407">
        <f>SUM(AO69,AP70,AQ70)</f>
        <v>0</v>
      </c>
      <c r="AT69" s="44">
        <f>IF(AL70="","","G")</f>
      </c>
      <c r="AU69" s="595"/>
      <c r="AV69" s="595"/>
      <c r="AW69" s="391"/>
      <c r="AX69" s="391"/>
      <c r="AY69" s="391"/>
      <c r="AZ69" s="391"/>
      <c r="BA69" s="391"/>
      <c r="BB69" s="391"/>
      <c r="BC69" s="391"/>
      <c r="BD69" s="391"/>
      <c r="BE69" s="391"/>
      <c r="BF69" s="391"/>
      <c r="BG69" s="391"/>
      <c r="BH69" s="391"/>
      <c r="BI69" s="391"/>
      <c r="BJ69" s="391" t="s">
        <v>386</v>
      </c>
      <c r="BK69" s="391"/>
      <c r="BL69" s="568"/>
      <c r="BM69" s="44">
        <f t="shared" si="162"/>
      </c>
      <c r="BN69" s="44">
        <f t="shared" si="162"/>
      </c>
      <c r="BO69" s="44">
        <f t="shared" si="162"/>
      </c>
      <c r="BP69" s="44">
        <f t="shared" si="162"/>
      </c>
      <c r="BQ69" s="313">
        <f t="shared" si="140"/>
        <v>0</v>
      </c>
      <c r="BR69" s="567">
        <f t="shared" si="141"/>
        <v>0</v>
      </c>
      <c r="BS69" s="567">
        <f t="shared" si="142"/>
        <v>0</v>
      </c>
      <c r="BT69" s="842">
        <f t="shared" si="163"/>
      </c>
      <c r="BU69" s="842">
        <f t="shared" si="163"/>
      </c>
      <c r="BV69" s="842">
        <f t="shared" si="163"/>
      </c>
      <c r="BW69" s="842">
        <f t="shared" si="163"/>
      </c>
      <c r="BX69" s="570"/>
      <c r="BY69" s="1072">
        <f t="shared" si="148"/>
      </c>
      <c r="BZ69" s="393"/>
      <c r="CA69" s="842">
        <f t="shared" si="158"/>
      </c>
      <c r="CB69" s="842">
        <f t="shared" si="159"/>
      </c>
      <c r="CC69" s="842">
        <f t="shared" si="160"/>
      </c>
      <c r="CD69" s="842">
        <f t="shared" si="161"/>
      </c>
      <c r="CE69" s="919"/>
      <c r="CF69" s="1033">
        <f t="shared" si="149"/>
      </c>
      <c r="CG69" s="1033">
        <f t="shared" si="150"/>
      </c>
      <c r="CH69" s="1033">
        <f t="shared" si="151"/>
      </c>
      <c r="CI69" s="1033">
        <f t="shared" si="152"/>
      </c>
      <c r="CJ69" s="393"/>
      <c r="CK69" s="919"/>
      <c r="CL69" s="393"/>
      <c r="CM69" s="684"/>
      <c r="CN69" s="672"/>
      <c r="CO69" s="259" t="str">
        <f t="shared" si="143"/>
        <v>GE</v>
      </c>
      <c r="CP69" s="260">
        <f t="shared" si="144"/>
      </c>
      <c r="CQ69" s="259"/>
      <c r="CR69" s="260"/>
      <c r="CS69" s="345">
        <f t="shared" si="164"/>
      </c>
      <c r="CT69" s="345">
        <f t="shared" si="164"/>
      </c>
      <c r="CU69" s="345">
        <f t="shared" si="164"/>
      </c>
      <c r="CV69" s="345">
        <f t="shared" si="164"/>
      </c>
      <c r="CW69" s="257">
        <f t="shared" si="165"/>
        <v>0</v>
      </c>
      <c r="CX69" s="69">
        <f t="shared" si="154"/>
        <v>0</v>
      </c>
      <c r="CY69" s="70">
        <f t="shared" si="155"/>
      </c>
      <c r="CZ69" s="39"/>
      <c r="DA69" s="802"/>
      <c r="DB69" s="802"/>
      <c r="DC69" s="387"/>
      <c r="DD69" s="33"/>
      <c r="DE69" s="71">
        <f t="shared" si="156"/>
        <v>0</v>
      </c>
      <c r="DF69" s="71" t="str">
        <f t="shared" si="157"/>
        <v>0</v>
      </c>
      <c r="DG69" s="393"/>
      <c r="DH69" s="393"/>
      <c r="DI69" s="919"/>
      <c r="DJ69" s="393"/>
      <c r="DK69" s="393"/>
      <c r="DL69" s="393"/>
      <c r="DM69" s="393"/>
      <c r="DN69" s="393"/>
      <c r="DO69" s="919"/>
      <c r="DP69" s="393"/>
      <c r="DQ69" s="393"/>
      <c r="DR69" s="393"/>
      <c r="DS69" s="393"/>
      <c r="DT69" s="393"/>
      <c r="DU69" s="919"/>
      <c r="DV69" s="393"/>
      <c r="DW69" s="393"/>
      <c r="DX69" s="393"/>
      <c r="DY69" s="393"/>
      <c r="DZ69" s="393"/>
      <c r="EA69" s="919"/>
      <c r="EB69" s="393"/>
      <c r="EC69" s="393"/>
      <c r="ED69" s="393"/>
      <c r="EE69" s="393"/>
      <c r="EF69" s="393"/>
      <c r="EG69" s="919"/>
      <c r="EH69" s="393"/>
      <c r="EI69" s="393"/>
      <c r="EJ69" s="393"/>
      <c r="EK69" s="393"/>
      <c r="EL69" s="393"/>
      <c r="EM69" s="393"/>
      <c r="EN69" s="919"/>
      <c r="EO69" s="393"/>
      <c r="EP69" s="393"/>
      <c r="EQ69" s="393"/>
      <c r="ER69" s="393"/>
      <c r="ES69" s="393"/>
      <c r="ET69" s="393"/>
      <c r="EU69" s="393"/>
      <c r="EV69" s="393"/>
      <c r="EW69" s="393"/>
      <c r="EX69" s="393"/>
      <c r="EY69" s="570"/>
      <c r="EZ69" s="570"/>
      <c r="FA69" s="324"/>
      <c r="FB69" s="393"/>
      <c r="FC69" s="393"/>
      <c r="FD69" s="393"/>
      <c r="FE69" s="393"/>
      <c r="FF69" s="324"/>
      <c r="FG69" s="324"/>
      <c r="FH69" s="324"/>
      <c r="FI69" s="324"/>
      <c r="FJ69" s="324"/>
      <c r="FK69" s="324"/>
      <c r="FL69" s="324"/>
      <c r="FM69" s="324"/>
      <c r="FN69" s="324"/>
      <c r="FO69" s="324"/>
      <c r="FP69" s="324"/>
      <c r="FQ69" s="579"/>
      <c r="FR69" s="579"/>
      <c r="FS69" s="579"/>
      <c r="FT69" s="579"/>
      <c r="FU69" s="579"/>
      <c r="FV69" s="579"/>
      <c r="FW69" s="579"/>
      <c r="FX69" s="579"/>
      <c r="FY69" s="324"/>
      <c r="FZ69" s="579"/>
      <c r="GA69" s="579"/>
      <c r="GB69" s="579"/>
      <c r="GC69" s="579"/>
      <c r="GD69" s="324"/>
      <c r="GE69" s="324"/>
      <c r="GF69" s="324"/>
      <c r="GG69" s="324"/>
      <c r="GH69" s="324"/>
      <c r="GI69" s="324"/>
      <c r="GJ69" s="71"/>
      <c r="GK69" s="71"/>
      <c r="GL69" s="324"/>
      <c r="GM69" s="324"/>
      <c r="GN69" s="324"/>
      <c r="GO69" s="324"/>
      <c r="GP69" s="324"/>
      <c r="GQ69" s="324"/>
      <c r="GR69" s="324"/>
      <c r="GS69" s="324"/>
      <c r="GT69" s="324"/>
      <c r="GU69" s="324"/>
      <c r="GV69" s="324"/>
      <c r="GW69" s="393"/>
      <c r="GX69" s="393"/>
      <c r="GY69" s="393"/>
      <c r="GZ69" s="393"/>
      <c r="HA69" s="324"/>
      <c r="HB69" s="324"/>
      <c r="HC69" s="324"/>
      <c r="HD69" s="324"/>
      <c r="HE69" s="324"/>
      <c r="HF69" s="324"/>
      <c r="HG69" s="393"/>
      <c r="HH69" s="393"/>
      <c r="HI69" s="393"/>
      <c r="HJ69" s="393"/>
      <c r="HK69" s="393"/>
      <c r="HL69" s="393"/>
      <c r="HM69" s="324"/>
      <c r="HN69" s="324"/>
    </row>
    <row r="70" spans="23:222" ht="15">
      <c r="W70" s="570"/>
      <c r="X70" s="255"/>
      <c r="Y70" s="64"/>
      <c r="Z70" s="570"/>
      <c r="AA70" s="736"/>
      <c r="AB70" s="736"/>
      <c r="AC70" s="736"/>
      <c r="AD70" s="736"/>
      <c r="AE70" s="255"/>
      <c r="AF70" s="255"/>
      <c r="AG70" s="255"/>
      <c r="AH70" s="255"/>
      <c r="AI70" s="391"/>
      <c r="AJ70" s="391"/>
      <c r="AK70" s="570"/>
      <c r="AL70" s="1220">
        <f ca="1">IF(AN70="","",INDIRECT("Z"&amp;AN70))</f>
      </c>
      <c r="AM70" s="1220" t="s">
        <v>391</v>
      </c>
      <c r="AN70" s="1220">
        <f>B14</f>
        <v>13</v>
      </c>
      <c r="AO70" s="1088">
        <f ca="1">IF(AL70="","",SUM(INDIRECT("H"&amp;AN70&amp;":K"&amp;AN70)))</f>
      </c>
      <c r="AP70" s="1222">
        <f ca="1">IF(AL70="","",SUM(INDIRECT("J"&amp;AN70&amp;":K"&amp;AN70)))</f>
      </c>
      <c r="AQ70" s="1081">
        <f ca="1">IF(AL70="","",LARGE(INDIRECT("H"&amp;AN70&amp;":I"&amp;AN70),$AT$58))</f>
      </c>
      <c r="AR70" s="407">
        <f>SUM(AO70,AP69,AQ69)</f>
        <v>0</v>
      </c>
      <c r="AS70" s="391"/>
      <c r="AU70" s="595"/>
      <c r="AV70" s="595"/>
      <c r="AW70" s="391"/>
      <c r="AX70" s="391"/>
      <c r="AY70" s="391"/>
      <c r="AZ70" s="391"/>
      <c r="BA70" s="391"/>
      <c r="BB70" s="391"/>
      <c r="BC70" s="391"/>
      <c r="BD70" s="391"/>
      <c r="BE70" s="391"/>
      <c r="BF70" s="391"/>
      <c r="BG70" s="391"/>
      <c r="BH70" s="391"/>
      <c r="BI70" s="391"/>
      <c r="BJ70" s="391"/>
      <c r="BK70" s="391"/>
      <c r="BL70" s="568"/>
      <c r="BM70" s="44">
        <f t="shared" si="162"/>
      </c>
      <c r="BN70" s="44">
        <f t="shared" si="162"/>
      </c>
      <c r="BO70" s="44">
        <f t="shared" si="162"/>
      </c>
      <c r="BP70" s="44">
        <f t="shared" si="162"/>
      </c>
      <c r="BQ70" s="313">
        <f t="shared" si="140"/>
        <v>0</v>
      </c>
      <c r="BR70" s="567">
        <f t="shared" si="141"/>
        <v>0</v>
      </c>
      <c r="BS70" s="567">
        <f t="shared" si="142"/>
        <v>0</v>
      </c>
      <c r="BT70" s="842">
        <f t="shared" si="163"/>
      </c>
      <c r="BU70" s="842">
        <f t="shared" si="163"/>
      </c>
      <c r="BV70" s="842">
        <f t="shared" si="163"/>
      </c>
      <c r="BW70" s="842">
        <f t="shared" si="163"/>
      </c>
      <c r="BX70" s="570"/>
      <c r="BY70" s="1072">
        <f t="shared" si="148"/>
      </c>
      <c r="BZ70" s="393"/>
      <c r="CA70" s="842">
        <f t="shared" si="158"/>
      </c>
      <c r="CB70" s="842">
        <f t="shared" si="159"/>
      </c>
      <c r="CC70" s="842">
        <f t="shared" si="160"/>
      </c>
      <c r="CD70" s="842">
        <f t="shared" si="161"/>
      </c>
      <c r="CE70" s="919"/>
      <c r="CF70" s="1033">
        <f t="shared" si="149"/>
      </c>
      <c r="CG70" s="1033">
        <f t="shared" si="150"/>
      </c>
      <c r="CH70" s="1033">
        <f t="shared" si="151"/>
      </c>
      <c r="CI70" s="1033">
        <f t="shared" si="152"/>
      </c>
      <c r="CJ70" s="393"/>
      <c r="CK70" s="919"/>
      <c r="CL70" s="393"/>
      <c r="CM70" s="684"/>
      <c r="CN70" s="672"/>
      <c r="CO70" s="259" t="str">
        <f t="shared" si="143"/>
        <v>PA</v>
      </c>
      <c r="CP70" s="260">
        <f t="shared" si="144"/>
      </c>
      <c r="CQ70" s="259"/>
      <c r="CR70" s="260"/>
      <c r="CS70" s="345">
        <f t="shared" si="164"/>
      </c>
      <c r="CT70" s="345">
        <f t="shared" si="164"/>
      </c>
      <c r="CU70" s="345">
        <f t="shared" si="164"/>
      </c>
      <c r="CV70" s="345">
        <f t="shared" si="164"/>
      </c>
      <c r="CW70" s="50">
        <f t="shared" si="165"/>
        <v>0</v>
      </c>
      <c r="CX70" s="69">
        <f t="shared" si="154"/>
        <v>0</v>
      </c>
      <c r="CY70" s="70">
        <f t="shared" si="155"/>
      </c>
      <c r="CZ70" s="39"/>
      <c r="DA70" s="47"/>
      <c r="DB70" s="47"/>
      <c r="DC70" s="47"/>
      <c r="DD70" s="33"/>
      <c r="DE70" s="71">
        <f t="shared" si="156"/>
        <v>0</v>
      </c>
      <c r="DF70" s="71" t="str">
        <f t="shared" si="157"/>
        <v>0</v>
      </c>
      <c r="DG70" s="393"/>
      <c r="DH70" s="393"/>
      <c r="DI70" s="919"/>
      <c r="DJ70" s="393"/>
      <c r="DK70" s="393"/>
      <c r="DL70" s="393"/>
      <c r="DM70" s="393"/>
      <c r="DN70" s="393"/>
      <c r="DO70" s="919"/>
      <c r="DP70" s="393"/>
      <c r="DQ70" s="393"/>
      <c r="DR70" s="393"/>
      <c r="DS70" s="393"/>
      <c r="DT70" s="393"/>
      <c r="DU70" s="919"/>
      <c r="DV70" s="393"/>
      <c r="DW70" s="393"/>
      <c r="DX70" s="393"/>
      <c r="DY70" s="393"/>
      <c r="DZ70" s="393"/>
      <c r="EA70" s="919"/>
      <c r="EB70" s="393"/>
      <c r="EC70" s="393"/>
      <c r="ED70" s="393"/>
      <c r="EE70" s="393"/>
      <c r="EF70" s="393"/>
      <c r="EG70" s="919"/>
      <c r="EH70" s="393"/>
      <c r="EI70" s="393"/>
      <c r="EJ70" s="393"/>
      <c r="EK70" s="393"/>
      <c r="EL70" s="393"/>
      <c r="EM70" s="393"/>
      <c r="EN70" s="919"/>
      <c r="EO70" s="393"/>
      <c r="EP70" s="393"/>
      <c r="EQ70" s="393"/>
      <c r="ER70" s="393"/>
      <c r="ES70" s="393"/>
      <c r="ET70" s="393"/>
      <c r="EU70" s="393"/>
      <c r="EV70" s="393"/>
      <c r="EW70" s="393"/>
      <c r="EX70" s="393"/>
      <c r="EY70" s="570"/>
      <c r="EZ70" s="570"/>
      <c r="FA70" s="324"/>
      <c r="FB70" s="393"/>
      <c r="FC70" s="393"/>
      <c r="FD70" s="393"/>
      <c r="FE70" s="393"/>
      <c r="FF70" s="324"/>
      <c r="FG70" s="324"/>
      <c r="FH70" s="324"/>
      <c r="FI70" s="324"/>
      <c r="FJ70" s="324"/>
      <c r="FK70" s="324"/>
      <c r="FL70" s="324"/>
      <c r="FM70" s="324"/>
      <c r="FN70" s="324"/>
      <c r="FO70" s="324"/>
      <c r="FP70" s="324"/>
      <c r="FQ70" s="579"/>
      <c r="FR70" s="579"/>
      <c r="FS70" s="579"/>
      <c r="FT70" s="579"/>
      <c r="FU70" s="579"/>
      <c r="FV70" s="579"/>
      <c r="FW70" s="579"/>
      <c r="FX70" s="579"/>
      <c r="FY70" s="324"/>
      <c r="FZ70" s="579"/>
      <c r="GA70" s="579"/>
      <c r="GB70" s="579"/>
      <c r="GC70" s="579"/>
      <c r="GD70" s="324"/>
      <c r="GE70" s="324"/>
      <c r="GF70" s="324"/>
      <c r="GG70" s="324"/>
      <c r="GH70" s="324"/>
      <c r="GI70" s="324"/>
      <c r="GJ70" s="71"/>
      <c r="GK70" s="71"/>
      <c r="GL70" s="324"/>
      <c r="GM70" s="324"/>
      <c r="GN70" s="324"/>
      <c r="GO70" s="324"/>
      <c r="GP70" s="324"/>
      <c r="GQ70" s="324"/>
      <c r="GR70" s="324"/>
      <c r="GS70" s="324"/>
      <c r="GT70" s="324"/>
      <c r="GU70" s="324"/>
      <c r="GV70" s="324"/>
      <c r="GW70" s="393"/>
      <c r="GX70" s="393"/>
      <c r="GY70" s="393"/>
      <c r="GZ70" s="393"/>
      <c r="HA70" s="324"/>
      <c r="HB70" s="324"/>
      <c r="HC70" s="324"/>
      <c r="HD70" s="324"/>
      <c r="HE70" s="324"/>
      <c r="HF70" s="324"/>
      <c r="HG70" s="393"/>
      <c r="HH70" s="393"/>
      <c r="HI70" s="393"/>
      <c r="HJ70" s="393"/>
      <c r="HK70" s="393"/>
      <c r="HL70" s="393"/>
      <c r="HM70" s="324"/>
      <c r="HN70" s="324"/>
    </row>
    <row r="71" spans="23:222" ht="18">
      <c r="W71" s="570"/>
      <c r="X71" s="255"/>
      <c r="Y71" s="64"/>
      <c r="Z71" s="570"/>
      <c r="AA71" s="736"/>
      <c r="AB71" s="736"/>
      <c r="AC71" s="736"/>
      <c r="AD71" s="736"/>
      <c r="AE71" s="255"/>
      <c r="AF71" s="255"/>
      <c r="AG71" s="255"/>
      <c r="AH71" s="255"/>
      <c r="AI71" s="391"/>
      <c r="AJ71" s="391"/>
      <c r="AK71" s="570"/>
      <c r="AL71" s="568"/>
      <c r="AM71" s="391"/>
      <c r="AN71" s="107"/>
      <c r="AO71" s="1074"/>
      <c r="AP71" s="1074"/>
      <c r="AQ71" s="1074"/>
      <c r="AR71" s="1074"/>
      <c r="AS71" s="391"/>
      <c r="AT71" s="391"/>
      <c r="AU71" s="391"/>
      <c r="AV71" s="391"/>
      <c r="AW71" s="391"/>
      <c r="AX71" s="391"/>
      <c r="AY71" s="391"/>
      <c r="AZ71" s="391"/>
      <c r="BA71" s="391"/>
      <c r="BB71" s="391"/>
      <c r="BC71" s="391"/>
      <c r="BD71" s="391"/>
      <c r="BE71" s="391"/>
      <c r="BF71" s="391"/>
      <c r="BG71" s="391"/>
      <c r="BH71" s="391"/>
      <c r="BI71" s="391"/>
      <c r="BJ71" s="391"/>
      <c r="BK71" s="391"/>
      <c r="BL71" s="568"/>
      <c r="BM71" s="44">
        <f t="shared" si="162"/>
      </c>
      <c r="BN71" s="44">
        <f t="shared" si="162"/>
      </c>
      <c r="BO71" s="44">
        <f t="shared" si="162"/>
      </c>
      <c r="BP71" s="44">
        <f t="shared" si="162"/>
      </c>
      <c r="BQ71" s="313">
        <f t="shared" si="140"/>
        <v>0</v>
      </c>
      <c r="BR71" s="567">
        <f t="shared" si="141"/>
        <v>0</v>
      </c>
      <c r="BS71" s="567">
        <f t="shared" si="142"/>
        <v>0</v>
      </c>
      <c r="BT71" s="842">
        <f t="shared" si="163"/>
      </c>
      <c r="BU71" s="842">
        <f t="shared" si="163"/>
      </c>
      <c r="BV71" s="842">
        <f t="shared" si="163"/>
      </c>
      <c r="BW71" s="842">
        <f t="shared" si="163"/>
      </c>
      <c r="BX71" s="570"/>
      <c r="BY71" s="1072">
        <f t="shared" si="148"/>
      </c>
      <c r="BZ71" s="393"/>
      <c r="CA71" s="842">
        <f t="shared" si="158"/>
      </c>
      <c r="CB71" s="842">
        <f t="shared" si="159"/>
      </c>
      <c r="CC71" s="842">
        <f t="shared" si="160"/>
      </c>
      <c r="CD71" s="842">
        <f t="shared" si="161"/>
      </c>
      <c r="CE71" s="919"/>
      <c r="CF71" s="1033">
        <f t="shared" si="149"/>
      </c>
      <c r="CG71" s="1033">
        <f t="shared" si="150"/>
      </c>
      <c r="CH71" s="1033">
        <f t="shared" si="151"/>
      </c>
      <c r="CI71" s="1033">
        <f t="shared" si="152"/>
      </c>
      <c r="CJ71" s="393"/>
      <c r="CK71" s="919"/>
      <c r="CL71" s="393"/>
      <c r="CM71" s="684"/>
      <c r="CN71" s="672"/>
      <c r="CO71" s="259">
        <f t="shared" si="143"/>
      </c>
      <c r="CP71" s="260">
        <f t="shared" si="144"/>
      </c>
      <c r="CQ71" s="259"/>
      <c r="CR71" s="260"/>
      <c r="CS71" s="345">
        <f t="shared" si="164"/>
      </c>
      <c r="CT71" s="345">
        <f t="shared" si="164"/>
      </c>
      <c r="CU71" s="345">
        <f t="shared" si="164"/>
      </c>
      <c r="CV71" s="345">
        <f t="shared" si="164"/>
      </c>
      <c r="CW71" s="50">
        <f t="shared" si="165"/>
      </c>
      <c r="CX71" s="69">
        <f t="shared" si="154"/>
      </c>
      <c r="CY71" s="70">
        <f t="shared" si="155"/>
      </c>
      <c r="CZ71" s="39"/>
      <c r="DA71" s="303"/>
      <c r="DB71" s="303"/>
      <c r="DC71" s="303"/>
      <c r="DD71" s="33"/>
      <c r="DE71" s="71">
        <f t="shared" si="156"/>
        <v>0</v>
      </c>
      <c r="DF71" s="71" t="str">
        <f t="shared" si="157"/>
        <v>0</v>
      </c>
      <c r="DG71" s="393"/>
      <c r="DH71" s="393"/>
      <c r="DI71" s="919"/>
      <c r="DJ71" s="393"/>
      <c r="DK71" s="393"/>
      <c r="DL71" s="393"/>
      <c r="DM71" s="393"/>
      <c r="DN71" s="393"/>
      <c r="DO71" s="919"/>
      <c r="DP71" s="393"/>
      <c r="DQ71" s="393"/>
      <c r="DR71" s="393"/>
      <c r="DS71" s="393"/>
      <c r="DT71" s="393"/>
      <c r="DU71" s="919"/>
      <c r="DV71" s="393"/>
      <c r="DW71" s="393"/>
      <c r="DX71" s="393"/>
      <c r="DY71" s="393"/>
      <c r="DZ71" s="393"/>
      <c r="EA71" s="919"/>
      <c r="EB71" s="393"/>
      <c r="EC71" s="393"/>
      <c r="ED71" s="393"/>
      <c r="EE71" s="393"/>
      <c r="EF71" s="393"/>
      <c r="EG71" s="919"/>
      <c r="EH71" s="393"/>
      <c r="EI71" s="393"/>
      <c r="EJ71" s="393"/>
      <c r="EK71" s="393"/>
      <c r="EL71" s="393"/>
      <c r="EM71" s="393"/>
      <c r="EN71" s="919"/>
      <c r="EO71" s="393"/>
      <c r="EP71" s="393"/>
      <c r="EQ71" s="393"/>
      <c r="ER71" s="393"/>
      <c r="ES71" s="393"/>
      <c r="ET71" s="393"/>
      <c r="EU71" s="393"/>
      <c r="EV71" s="393"/>
      <c r="EW71" s="393"/>
      <c r="EX71" s="393"/>
      <c r="EY71" s="570"/>
      <c r="EZ71" s="570"/>
      <c r="FA71" s="324"/>
      <c r="FB71" s="393"/>
      <c r="FC71" s="393"/>
      <c r="FD71" s="393"/>
      <c r="FE71" s="393"/>
      <c r="FF71" s="324"/>
      <c r="FG71" s="324"/>
      <c r="FH71" s="324"/>
      <c r="FI71" s="324"/>
      <c r="FJ71" s="324"/>
      <c r="FK71" s="324"/>
      <c r="FL71" s="324"/>
      <c r="FM71" s="324"/>
      <c r="FN71" s="324"/>
      <c r="FO71" s="324"/>
      <c r="FP71" s="324"/>
      <c r="FQ71" s="579"/>
      <c r="FR71" s="579"/>
      <c r="FS71" s="579"/>
      <c r="FT71" s="579"/>
      <c r="FU71" s="579"/>
      <c r="FV71" s="579"/>
      <c r="FW71" s="579"/>
      <c r="FX71" s="579"/>
      <c r="FY71" s="324"/>
      <c r="FZ71" s="579"/>
      <c r="GA71" s="579"/>
      <c r="GB71" s="579"/>
      <c r="GC71" s="579"/>
      <c r="GD71" s="324"/>
      <c r="GE71" s="324"/>
      <c r="GF71" s="324"/>
      <c r="GG71" s="324"/>
      <c r="GH71" s="324"/>
      <c r="GI71" s="324"/>
      <c r="GJ71" s="71"/>
      <c r="GK71" s="71"/>
      <c r="GL71" s="324"/>
      <c r="GM71" s="324"/>
      <c r="GN71" s="324"/>
      <c r="GO71" s="324"/>
      <c r="GP71" s="324"/>
      <c r="GQ71" s="324"/>
      <c r="GR71" s="324"/>
      <c r="GS71" s="324"/>
      <c r="GT71" s="324"/>
      <c r="GU71" s="324"/>
      <c r="GV71" s="324"/>
      <c r="GW71" s="393"/>
      <c r="GX71" s="393"/>
      <c r="GY71" s="393"/>
      <c r="GZ71" s="393"/>
      <c r="HA71" s="324"/>
      <c r="HB71" s="324"/>
      <c r="HC71" s="324"/>
      <c r="HD71" s="324"/>
      <c r="HE71" s="324"/>
      <c r="HF71" s="324"/>
      <c r="HG71" s="393"/>
      <c r="HH71" s="393"/>
      <c r="HI71" s="393"/>
      <c r="HJ71" s="393"/>
      <c r="HK71" s="393"/>
      <c r="HL71" s="393"/>
      <c r="HM71" s="324"/>
      <c r="HN71" s="324"/>
    </row>
    <row r="72" spans="23:222" ht="18">
      <c r="W72" s="570"/>
      <c r="X72" s="255"/>
      <c r="Y72" s="64"/>
      <c r="Z72" s="570"/>
      <c r="AA72" s="736"/>
      <c r="AB72" s="736"/>
      <c r="AC72" s="736"/>
      <c r="AD72" s="736"/>
      <c r="AE72" s="255"/>
      <c r="AF72" s="255"/>
      <c r="AG72" s="255"/>
      <c r="AH72" s="255"/>
      <c r="AI72" s="391"/>
      <c r="AJ72" s="391"/>
      <c r="AK72" s="570"/>
      <c r="AL72" s="568"/>
      <c r="AM72" s="391"/>
      <c r="AN72" s="107"/>
      <c r="AO72" s="1074"/>
      <c r="AP72" s="1074"/>
      <c r="AQ72" s="1074"/>
      <c r="AR72" s="1074"/>
      <c r="AS72" s="391"/>
      <c r="AT72" s="391"/>
      <c r="AU72" s="391"/>
      <c r="AV72" s="391"/>
      <c r="AW72" s="391"/>
      <c r="AX72" s="391"/>
      <c r="AY72" s="391"/>
      <c r="AZ72" s="391"/>
      <c r="BA72" s="391"/>
      <c r="BB72" s="391"/>
      <c r="BC72" s="391"/>
      <c r="BD72" s="391"/>
      <c r="BE72" s="391"/>
      <c r="BF72" s="391"/>
      <c r="BG72" s="391"/>
      <c r="BH72" s="391"/>
      <c r="BI72" s="391"/>
      <c r="BJ72" s="391"/>
      <c r="BK72" s="391"/>
      <c r="BL72" s="568"/>
      <c r="BQ72" s="313">
        <f t="shared" si="140"/>
        <v>0</v>
      </c>
      <c r="BR72" s="567">
        <f t="shared" si="141"/>
        <v>0</v>
      </c>
      <c r="BS72" s="567">
        <f t="shared" si="142"/>
        <v>0</v>
      </c>
      <c r="BT72" s="842">
        <f t="shared" si="163"/>
      </c>
      <c r="BU72" s="842">
        <f t="shared" si="163"/>
      </c>
      <c r="BV72" s="842">
        <f t="shared" si="163"/>
      </c>
      <c r="BW72" s="842">
        <f t="shared" si="163"/>
      </c>
      <c r="BX72" s="570"/>
      <c r="BY72" s="1072">
        <f t="shared" si="148"/>
      </c>
      <c r="BZ72" s="393"/>
      <c r="CA72" s="842">
        <f t="shared" si="158"/>
      </c>
      <c r="CB72" s="842">
        <f t="shared" si="159"/>
      </c>
      <c r="CC72" s="842">
        <f t="shared" si="160"/>
      </c>
      <c r="CD72" s="842">
        <f t="shared" si="161"/>
      </c>
      <c r="CE72" s="919"/>
      <c r="CF72" s="1033">
        <f t="shared" si="149"/>
      </c>
      <c r="CG72" s="1033">
        <f t="shared" si="150"/>
      </c>
      <c r="CH72" s="1033">
        <f t="shared" si="151"/>
      </c>
      <c r="CI72" s="1033">
        <f t="shared" si="152"/>
      </c>
      <c r="CJ72" s="393"/>
      <c r="CK72" s="919"/>
      <c r="CL72" s="393"/>
      <c r="CM72" s="684"/>
      <c r="CN72" s="672"/>
      <c r="CO72" s="259">
        <f t="shared" si="143"/>
      </c>
      <c r="CP72" s="260">
        <f t="shared" si="144"/>
      </c>
      <c r="CQ72" s="259"/>
      <c r="CR72" s="260"/>
      <c r="CS72" s="345">
        <f t="shared" si="164"/>
      </c>
      <c r="CT72" s="345">
        <f t="shared" si="164"/>
      </c>
      <c r="CU72" s="345">
        <f t="shared" si="164"/>
      </c>
      <c r="CV72" s="345">
        <f t="shared" si="164"/>
      </c>
      <c r="CW72" s="50">
        <f>IF(CO72="","",COUNTA(CS72:CV72)-COUNTIF(CS72:CV72,""))</f>
      </c>
      <c r="CX72" s="69">
        <f>IF(OR(CP72=1,CP72=2,CO72=""),"",SUM(CS72:CV72))</f>
      </c>
      <c r="CY72" s="70">
        <f>IF(OR(CP72=1,CP72=2),2*SUM(CS72:CV72),"")</f>
      </c>
      <c r="CZ72" s="39"/>
      <c r="DA72" s="303"/>
      <c r="DB72" s="303"/>
      <c r="DC72" s="303"/>
      <c r="DD72" s="33"/>
      <c r="DE72" s="71">
        <f>IF(AND(CP72&lt;&gt;1,CP72&lt;&gt;2,CO72&lt;&gt;0),COUNTIF(CS72:CV72,"&lt;5"),"0")</f>
        <v>0</v>
      </c>
      <c r="DF72" s="71" t="str">
        <f>IF(OR(CP72=1,CP72=2),COUNTIF(CS72:CV72,"&lt;5"),"0")</f>
        <v>0</v>
      </c>
      <c r="DG72" s="393"/>
      <c r="DH72" s="393"/>
      <c r="DI72" s="919"/>
      <c r="DJ72" s="393"/>
      <c r="DK72" s="393"/>
      <c r="DL72" s="393"/>
      <c r="DM72" s="393"/>
      <c r="DN72" s="393"/>
      <c r="DO72" s="919"/>
      <c r="DP72" s="393"/>
      <c r="DQ72" s="393"/>
      <c r="DR72" s="393"/>
      <c r="DS72" s="393"/>
      <c r="DT72" s="393"/>
      <c r="DU72" s="919"/>
      <c r="DV72" s="393"/>
      <c r="DW72" s="393"/>
      <c r="DX72" s="393"/>
      <c r="DY72" s="393"/>
      <c r="DZ72" s="393"/>
      <c r="EA72" s="919"/>
      <c r="EB72" s="393"/>
      <c r="EC72" s="393"/>
      <c r="ED72" s="393"/>
      <c r="EE72" s="393"/>
      <c r="EF72" s="393"/>
      <c r="EG72" s="919"/>
      <c r="EH72" s="393"/>
      <c r="EI72" s="393"/>
      <c r="EJ72" s="393"/>
      <c r="EK72" s="393"/>
      <c r="EL72" s="393"/>
      <c r="EM72" s="393"/>
      <c r="EN72" s="919"/>
      <c r="EO72" s="393"/>
      <c r="EP72" s="393"/>
      <c r="EQ72" s="393"/>
      <c r="ER72" s="393"/>
      <c r="ES72" s="393"/>
      <c r="ET72" s="393"/>
      <c r="EU72" s="393"/>
      <c r="EV72" s="393"/>
      <c r="EW72" s="393"/>
      <c r="EX72" s="393"/>
      <c r="EY72" s="570"/>
      <c r="EZ72" s="570"/>
      <c r="FA72" s="324"/>
      <c r="FB72" s="393"/>
      <c r="FC72" s="393"/>
      <c r="FD72" s="393"/>
      <c r="FE72" s="393"/>
      <c r="FF72" s="324"/>
      <c r="FG72" s="324"/>
      <c r="FH72" s="324"/>
      <c r="FI72" s="324"/>
      <c r="FJ72" s="324"/>
      <c r="FK72" s="324"/>
      <c r="FL72" s="324"/>
      <c r="FM72" s="324"/>
      <c r="FN72" s="324"/>
      <c r="FO72" s="324"/>
      <c r="FP72" s="324"/>
      <c r="FQ72" s="579"/>
      <c r="FR72" s="579"/>
      <c r="FS72" s="579"/>
      <c r="FT72" s="579"/>
      <c r="FU72" s="579"/>
      <c r="FV72" s="579"/>
      <c r="FW72" s="579"/>
      <c r="FX72" s="579"/>
      <c r="FY72" s="324"/>
      <c r="FZ72" s="579"/>
      <c r="GA72" s="579"/>
      <c r="GB72" s="579"/>
      <c r="GC72" s="579"/>
      <c r="GD72" s="324"/>
      <c r="GE72" s="324"/>
      <c r="GF72" s="324"/>
      <c r="GG72" s="324"/>
      <c r="GH72" s="324"/>
      <c r="GI72" s="324"/>
      <c r="GJ72" s="71"/>
      <c r="GK72" s="71"/>
      <c r="GL72" s="324"/>
      <c r="GM72" s="324"/>
      <c r="GN72" s="324"/>
      <c r="GO72" s="324"/>
      <c r="GP72" s="324"/>
      <c r="GQ72" s="324"/>
      <c r="GR72" s="324"/>
      <c r="GS72" s="324"/>
      <c r="GT72" s="324"/>
      <c r="GU72" s="324"/>
      <c r="GV72" s="324"/>
      <c r="GW72" s="393"/>
      <c r="GX72" s="393"/>
      <c r="GY72" s="393"/>
      <c r="GZ72" s="393"/>
      <c r="HA72" s="324"/>
      <c r="HB72" s="324"/>
      <c r="HC72" s="324"/>
      <c r="HD72" s="324"/>
      <c r="HE72" s="324"/>
      <c r="HF72" s="324"/>
      <c r="HG72" s="393"/>
      <c r="HH72" s="393"/>
      <c r="HI72" s="393"/>
      <c r="HJ72" s="393"/>
      <c r="HK72" s="393"/>
      <c r="HL72" s="393"/>
      <c r="HM72" s="324"/>
      <c r="HN72" s="324"/>
    </row>
    <row r="73" spans="23:222" ht="18">
      <c r="W73" s="570"/>
      <c r="X73" s="64"/>
      <c r="Y73" s="64"/>
      <c r="Z73" s="570"/>
      <c r="AA73" s="736"/>
      <c r="AB73" s="736"/>
      <c r="AC73" s="736"/>
      <c r="AD73" s="736"/>
      <c r="AE73" s="255"/>
      <c r="AF73" s="255"/>
      <c r="AG73" s="255"/>
      <c r="AH73" s="255"/>
      <c r="AI73" s="391"/>
      <c r="AJ73" s="391"/>
      <c r="AK73" s="570"/>
      <c r="AL73" s="568"/>
      <c r="AM73" s="391"/>
      <c r="AN73" s="33"/>
      <c r="AO73" s="86" t="s">
        <v>477</v>
      </c>
      <c r="AP73" s="61"/>
      <c r="AQ73" s="61"/>
      <c r="AR73" s="61"/>
      <c r="AS73" s="391"/>
      <c r="AT73" s="391"/>
      <c r="AU73" s="391"/>
      <c r="AV73" s="391"/>
      <c r="AW73" s="391"/>
      <c r="AX73" s="391"/>
      <c r="AY73" s="391"/>
      <c r="AZ73" s="391"/>
      <c r="BA73" s="391"/>
      <c r="BB73" s="391"/>
      <c r="BC73" s="391"/>
      <c r="BD73" s="391"/>
      <c r="BE73" s="391"/>
      <c r="BF73" s="391"/>
      <c r="BG73" s="391"/>
      <c r="BH73" s="391"/>
      <c r="BI73" s="391"/>
      <c r="BJ73" s="391"/>
      <c r="BK73" s="391"/>
      <c r="BL73" s="568"/>
      <c r="BO73" s="44">
        <f aca="true" t="shared" si="166" ref="BO73:BP75">BO22</f>
      </c>
      <c r="BP73" s="44">
        <f t="shared" si="166"/>
      </c>
      <c r="BQ73" s="313">
        <f t="shared" si="140"/>
        <v>0</v>
      </c>
      <c r="BR73" s="567">
        <f t="shared" si="141"/>
        <v>0</v>
      </c>
      <c r="BS73" s="567">
        <f t="shared" si="142"/>
        <v>0</v>
      </c>
      <c r="BT73" s="330"/>
      <c r="BU73" s="330"/>
      <c r="BV73" s="255"/>
      <c r="BW73" s="255"/>
      <c r="BX73" s="570"/>
      <c r="BY73" s="1072">
        <f t="shared" si="148"/>
      </c>
      <c r="BZ73" s="393"/>
      <c r="CA73" s="842">
        <f t="shared" si="158"/>
      </c>
      <c r="CB73" s="842">
        <f t="shared" si="159"/>
      </c>
      <c r="CC73" s="842">
        <f t="shared" si="160"/>
      </c>
      <c r="CD73" s="842">
        <f t="shared" si="161"/>
      </c>
      <c r="CE73" s="919"/>
      <c r="CF73" s="1033">
        <f t="shared" si="149"/>
      </c>
      <c r="CG73" s="1033">
        <f t="shared" si="150"/>
      </c>
      <c r="CH73" s="1033">
        <f t="shared" si="151"/>
      </c>
      <c r="CI73" s="1033">
        <f t="shared" si="152"/>
      </c>
      <c r="CJ73" s="393"/>
      <c r="CK73" s="919"/>
      <c r="CL73" s="393"/>
      <c r="CM73" s="684"/>
      <c r="CN73" s="672"/>
      <c r="CO73" s="259">
        <f t="shared" si="143"/>
      </c>
      <c r="CP73" s="260">
        <f t="shared" si="144"/>
      </c>
      <c r="CQ73" s="259"/>
      <c r="CR73" s="260"/>
      <c r="CS73" s="348">
        <f>""</f>
      </c>
      <c r="CT73" s="348">
        <f>""</f>
      </c>
      <c r="CU73" s="348">
        <f>IF(J11="","",IF(BO73&lt;&gt;"",BO73,""))</f>
      </c>
      <c r="CV73" s="348">
        <f>IF(K11="","",IF(BP73&lt;&gt;"",BP73,""))</f>
      </c>
      <c r="CW73" s="50">
        <f>IF(CO73="","",COUNT(CU73:CV73))</f>
      </c>
      <c r="CX73" s="69">
        <f t="shared" si="154"/>
      </c>
      <c r="CY73" s="70">
        <f t="shared" si="155"/>
      </c>
      <c r="CZ73" s="39"/>
      <c r="DA73" s="303"/>
      <c r="DB73" s="303"/>
      <c r="DC73" s="303"/>
      <c r="DD73" s="33"/>
      <c r="DE73" s="71">
        <f t="shared" si="156"/>
        <v>0</v>
      </c>
      <c r="DF73" s="71" t="str">
        <f t="shared" si="157"/>
        <v>0</v>
      </c>
      <c r="DG73" s="393"/>
      <c r="DH73" s="393"/>
      <c r="DI73" s="919"/>
      <c r="DJ73" s="393"/>
      <c r="DK73" s="393"/>
      <c r="DL73" s="393"/>
      <c r="DM73" s="393"/>
      <c r="DN73" s="393"/>
      <c r="DO73" s="919"/>
      <c r="DP73" s="393"/>
      <c r="DQ73" s="393"/>
      <c r="DR73" s="393"/>
      <c r="DS73" s="393"/>
      <c r="DT73" s="393"/>
      <c r="DU73" s="919"/>
      <c r="DV73" s="393"/>
      <c r="DW73" s="393"/>
      <c r="DX73" s="393"/>
      <c r="DY73" s="393"/>
      <c r="DZ73" s="393"/>
      <c r="EA73" s="919"/>
      <c r="EB73" s="393"/>
      <c r="EC73" s="393"/>
      <c r="ED73" s="393"/>
      <c r="EE73" s="393"/>
      <c r="EF73" s="393"/>
      <c r="EG73" s="919"/>
      <c r="EH73" s="393"/>
      <c r="EI73" s="393"/>
      <c r="EJ73" s="393"/>
      <c r="EK73" s="393"/>
      <c r="EL73" s="393"/>
      <c r="EM73" s="393"/>
      <c r="EN73" s="919"/>
      <c r="EO73" s="393"/>
      <c r="EP73" s="393"/>
      <c r="EQ73" s="393"/>
      <c r="ER73" s="393"/>
      <c r="ES73" s="393"/>
      <c r="ET73" s="393"/>
      <c r="EU73" s="393"/>
      <c r="EV73" s="393"/>
      <c r="EW73" s="393"/>
      <c r="EX73" s="393"/>
      <c r="EY73" s="570"/>
      <c r="EZ73" s="570"/>
      <c r="FA73" s="324"/>
      <c r="FB73" s="393"/>
      <c r="FC73" s="393"/>
      <c r="FD73" s="393"/>
      <c r="FE73" s="393"/>
      <c r="FF73" s="324"/>
      <c r="FG73" s="324"/>
      <c r="FH73" s="324"/>
      <c r="FI73" s="324"/>
      <c r="FJ73" s="324"/>
      <c r="FK73" s="324"/>
      <c r="FL73" s="324"/>
      <c r="FM73" s="324"/>
      <c r="FN73" s="324"/>
      <c r="FO73" s="324"/>
      <c r="FP73" s="324"/>
      <c r="FQ73" s="579"/>
      <c r="FR73" s="579"/>
      <c r="FS73" s="579"/>
      <c r="FT73" s="579"/>
      <c r="FU73" s="579"/>
      <c r="FV73" s="579"/>
      <c r="FW73" s="579"/>
      <c r="FX73" s="579"/>
      <c r="FY73" s="324"/>
      <c r="FZ73" s="579"/>
      <c r="GA73" s="579"/>
      <c r="GB73" s="579"/>
      <c r="GC73" s="579"/>
      <c r="GD73" s="324"/>
      <c r="GE73" s="324"/>
      <c r="GF73" s="324"/>
      <c r="GG73" s="324"/>
      <c r="GH73" s="324"/>
      <c r="GI73" s="324"/>
      <c r="GJ73" s="71"/>
      <c r="GK73" s="71"/>
      <c r="GL73" s="324"/>
      <c r="GM73" s="324"/>
      <c r="GN73" s="324"/>
      <c r="GO73" s="324"/>
      <c r="GP73" s="324"/>
      <c r="GQ73" s="324"/>
      <c r="GR73" s="324"/>
      <c r="GS73" s="324"/>
      <c r="GT73" s="324"/>
      <c r="GU73" s="324"/>
      <c r="GV73" s="324"/>
      <c r="GW73" s="393"/>
      <c r="GX73" s="393"/>
      <c r="GY73" s="393"/>
      <c r="GZ73" s="393"/>
      <c r="HA73" s="324"/>
      <c r="HB73" s="324"/>
      <c r="HC73" s="324"/>
      <c r="HD73" s="324"/>
      <c r="HE73" s="324"/>
      <c r="HF73" s="324"/>
      <c r="HG73" s="393"/>
      <c r="HH73" s="393"/>
      <c r="HI73" s="393"/>
      <c r="HJ73" s="393"/>
      <c r="HK73" s="393"/>
      <c r="HL73" s="393"/>
      <c r="HM73" s="324"/>
      <c r="HN73" s="324"/>
    </row>
    <row r="74" spans="23:222" ht="18">
      <c r="W74" s="570"/>
      <c r="X74" s="255"/>
      <c r="Y74" s="64"/>
      <c r="Z74" s="570"/>
      <c r="AA74" s="736"/>
      <c r="AB74" s="736"/>
      <c r="AC74" s="736"/>
      <c r="AD74" s="736"/>
      <c r="AE74" s="255"/>
      <c r="AF74" s="255"/>
      <c r="AG74" s="255"/>
      <c r="AH74" s="255"/>
      <c r="AI74" s="391"/>
      <c r="AJ74" s="391"/>
      <c r="AK74" s="570"/>
      <c r="AL74" s="568"/>
      <c r="AM74" s="391"/>
      <c r="AN74" s="324"/>
      <c r="AO74" s="255"/>
      <c r="AP74" s="1095"/>
      <c r="AQ74" s="1096"/>
      <c r="AR74" s="1090" t="s">
        <v>479</v>
      </c>
      <c r="AS74" s="255"/>
      <c r="AT74" s="595" t="s">
        <v>484</v>
      </c>
      <c r="AU74" s="255"/>
      <c r="AV74" s="255"/>
      <c r="AW74" s="391"/>
      <c r="AX74" s="391"/>
      <c r="AY74" s="391"/>
      <c r="AZ74" s="391"/>
      <c r="BA74" s="391"/>
      <c r="BB74" s="391"/>
      <c r="BC74" s="391"/>
      <c r="BD74" s="1510"/>
      <c r="BE74" s="595"/>
      <c r="BF74" s="391"/>
      <c r="BG74" s="391"/>
      <c r="BH74" s="391"/>
      <c r="BI74" s="391"/>
      <c r="BJ74" s="391"/>
      <c r="BK74" s="391"/>
      <c r="BO74" s="44">
        <f t="shared" si="166"/>
      </c>
      <c r="BP74" s="44">
        <f t="shared" si="166"/>
      </c>
      <c r="BQ74" s="313">
        <f t="shared" si="140"/>
        <v>0</v>
      </c>
      <c r="BR74" s="567">
        <f t="shared" si="141"/>
        <v>0</v>
      </c>
      <c r="BS74" s="567">
        <f t="shared" si="142"/>
        <v>0</v>
      </c>
      <c r="BT74" s="328"/>
      <c r="BU74" s="328"/>
      <c r="BV74" s="275"/>
      <c r="BW74" s="275"/>
      <c r="BX74" s="570"/>
      <c r="BY74" s="1072">
        <f t="shared" si="148"/>
      </c>
      <c r="BZ74" s="393"/>
      <c r="CA74" s="842">
        <f t="shared" si="158"/>
      </c>
      <c r="CB74" s="842">
        <f t="shared" si="159"/>
      </c>
      <c r="CC74" s="842">
        <f t="shared" si="160"/>
      </c>
      <c r="CD74" s="842">
        <f t="shared" si="161"/>
      </c>
      <c r="CE74" s="919"/>
      <c r="CF74" s="1033">
        <f t="shared" si="149"/>
      </c>
      <c r="CG74" s="1033">
        <f t="shared" si="150"/>
      </c>
      <c r="CH74" s="1033">
        <f t="shared" si="151"/>
      </c>
      <c r="CI74" s="1033">
        <f t="shared" si="152"/>
      </c>
      <c r="CJ74" s="393"/>
      <c r="CK74" s="919"/>
      <c r="CL74" s="393"/>
      <c r="CM74" s="684"/>
      <c r="CN74" s="672"/>
      <c r="CO74" s="261" t="str">
        <f t="shared" si="143"/>
        <v> SW-Z</v>
      </c>
      <c r="CP74" s="262">
        <f t="shared" si="144"/>
      </c>
      <c r="CQ74" s="261"/>
      <c r="CR74" s="262"/>
      <c r="CS74" s="346">
        <f>""</f>
      </c>
      <c r="CT74" s="347">
        <f>""</f>
      </c>
      <c r="CU74" s="347">
        <f>IF(J12="","",IF(BO74&lt;&gt;"",BO74,""))</f>
      </c>
      <c r="CV74" s="347">
        <f>IF(K12="","",IF(BP74&lt;&gt;"",BP74,""))</f>
      </c>
      <c r="CW74" s="861">
        <f>IF(CO74="","",COUNT(CU74:CV74))</f>
        <v>0</v>
      </c>
      <c r="CX74" s="420">
        <f t="shared" si="154"/>
        <v>0</v>
      </c>
      <c r="CY74" s="494">
        <f t="shared" si="155"/>
      </c>
      <c r="CZ74" s="39"/>
      <c r="DA74" s="303"/>
      <c r="DB74" s="303"/>
      <c r="DC74" s="303"/>
      <c r="DD74" s="33"/>
      <c r="DE74" s="71">
        <f t="shared" si="156"/>
        <v>0</v>
      </c>
      <c r="DF74" s="71" t="str">
        <f t="shared" si="157"/>
        <v>0</v>
      </c>
      <c r="DG74" s="393"/>
      <c r="DH74" s="393"/>
      <c r="DI74" s="919"/>
      <c r="DJ74" s="393"/>
      <c r="DK74" s="393"/>
      <c r="DL74" s="393"/>
      <c r="DM74" s="393"/>
      <c r="DN74" s="393"/>
      <c r="DO74" s="919"/>
      <c r="DP74" s="393"/>
      <c r="DQ74" s="393"/>
      <c r="DR74" s="393"/>
      <c r="DS74" s="393"/>
      <c r="DT74" s="393"/>
      <c r="DU74" s="919"/>
      <c r="DV74" s="393"/>
      <c r="DW74" s="393"/>
      <c r="DX74" s="393"/>
      <c r="DY74" s="393"/>
      <c r="DZ74" s="393"/>
      <c r="EA74" s="919"/>
      <c r="EB74" s="393"/>
      <c r="EC74" s="393"/>
      <c r="ED74" s="393"/>
      <c r="EE74" s="393"/>
      <c r="EF74" s="393"/>
      <c r="EG74" s="919"/>
      <c r="EH74" s="393"/>
      <c r="EI74" s="393"/>
      <c r="EJ74" s="393"/>
      <c r="EK74" s="393"/>
      <c r="EL74" s="393"/>
      <c r="EM74" s="393"/>
      <c r="EN74" s="919"/>
      <c r="EO74" s="393"/>
      <c r="EP74" s="393"/>
      <c r="EQ74" s="393"/>
      <c r="ER74" s="393"/>
      <c r="ES74" s="393"/>
      <c r="ET74" s="393"/>
      <c r="EU74" s="393"/>
      <c r="EV74" s="393"/>
      <c r="EW74" s="393"/>
      <c r="EX74" s="393"/>
      <c r="EY74" s="570"/>
      <c r="EZ74" s="570"/>
      <c r="FA74" s="324"/>
      <c r="FB74" s="393"/>
      <c r="FC74" s="393"/>
      <c r="FD74" s="393"/>
      <c r="FE74" s="393"/>
      <c r="FF74" s="324"/>
      <c r="FG74" s="324"/>
      <c r="FH74" s="324"/>
      <c r="FI74" s="324"/>
      <c r="FJ74" s="324"/>
      <c r="FK74" s="324"/>
      <c r="FL74" s="324"/>
      <c r="FM74" s="324"/>
      <c r="FN74" s="324"/>
      <c r="FO74" s="324"/>
      <c r="FP74" s="324"/>
      <c r="FQ74" s="579"/>
      <c r="FR74" s="579"/>
      <c r="FS74" s="579"/>
      <c r="FT74" s="579"/>
      <c r="FU74" s="579"/>
      <c r="FV74" s="579"/>
      <c r="FW74" s="579"/>
      <c r="FX74" s="579"/>
      <c r="FY74" s="324"/>
      <c r="FZ74" s="579"/>
      <c r="GA74" s="579"/>
      <c r="GB74" s="579"/>
      <c r="GC74" s="579"/>
      <c r="GD74" s="324"/>
      <c r="GE74" s="324"/>
      <c r="GF74" s="324"/>
      <c r="GG74" s="324"/>
      <c r="GH74" s="324"/>
      <c r="GI74" s="324"/>
      <c r="GJ74" s="71"/>
      <c r="GK74" s="71"/>
      <c r="GL74" s="324"/>
      <c r="GM74" s="324"/>
      <c r="GN74" s="324"/>
      <c r="GO74" s="324"/>
      <c r="GP74" s="324"/>
      <c r="GQ74" s="324"/>
      <c r="GR74" s="324"/>
      <c r="GS74" s="324"/>
      <c r="GT74" s="324"/>
      <c r="GU74" s="324"/>
      <c r="GV74" s="324"/>
      <c r="GW74" s="393"/>
      <c r="GX74" s="393"/>
      <c r="GY74" s="393"/>
      <c r="GZ74" s="393"/>
      <c r="HA74" s="324"/>
      <c r="HB74" s="324"/>
      <c r="HC74" s="324"/>
      <c r="HD74" s="324"/>
      <c r="HE74" s="324"/>
      <c r="HF74" s="324"/>
      <c r="HG74" s="393"/>
      <c r="HH74" s="393"/>
      <c r="HI74" s="393"/>
      <c r="HJ74" s="393"/>
      <c r="HK74" s="393"/>
      <c r="HL74" s="393"/>
      <c r="HM74" s="324"/>
      <c r="HN74" s="324"/>
    </row>
    <row r="75" spans="23:222" ht="24">
      <c r="W75" s="570"/>
      <c r="X75" s="64"/>
      <c r="Y75" s="64"/>
      <c r="Z75" s="570"/>
      <c r="AA75" s="736"/>
      <c r="AB75" s="736"/>
      <c r="AC75" s="736"/>
      <c r="AD75" s="736"/>
      <c r="AE75" s="255"/>
      <c r="AF75" s="255"/>
      <c r="AG75" s="255"/>
      <c r="AH75" s="255"/>
      <c r="AI75" s="391"/>
      <c r="AJ75" s="391"/>
      <c r="AK75" s="570"/>
      <c r="AL75" s="568"/>
      <c r="AM75" s="585"/>
      <c r="AN75" s="1089" t="s">
        <v>480</v>
      </c>
      <c r="AO75" s="391" t="s">
        <v>488</v>
      </c>
      <c r="AP75" s="1074" t="s">
        <v>489</v>
      </c>
      <c r="AQ75" s="1080" t="s">
        <v>481</v>
      </c>
      <c r="AR75" s="1074" t="s">
        <v>517</v>
      </c>
      <c r="AS75" s="568" t="s">
        <v>483</v>
      </c>
      <c r="AT75" s="44">
        <v>1</v>
      </c>
      <c r="AU75" s="391">
        <v>2</v>
      </c>
      <c r="AV75" s="391">
        <v>3</v>
      </c>
      <c r="AW75" s="391"/>
      <c r="AX75" s="391"/>
      <c r="AY75" s="391"/>
      <c r="AZ75" s="1097" t="s">
        <v>491</v>
      </c>
      <c r="BA75" s="391"/>
      <c r="BB75" s="391"/>
      <c r="BC75" s="391"/>
      <c r="BD75" s="1510"/>
      <c r="BE75" s="391"/>
      <c r="BF75" s="391"/>
      <c r="BG75" s="391"/>
      <c r="BH75" s="391"/>
      <c r="BI75" s="391"/>
      <c r="BJ75" s="391" t="s">
        <v>53</v>
      </c>
      <c r="BK75" s="391"/>
      <c r="BL75" s="568"/>
      <c r="BM75" s="274">
        <f>BM24</f>
      </c>
      <c r="BN75" s="274">
        <f>BN24</f>
      </c>
      <c r="BO75" s="274">
        <f t="shared" si="166"/>
      </c>
      <c r="BP75" s="274">
        <f t="shared" si="166"/>
      </c>
      <c r="BQ75" s="313">
        <f t="shared" si="140"/>
        <v>0</v>
      </c>
      <c r="BR75" s="567">
        <f t="shared" si="141"/>
        <v>0</v>
      </c>
      <c r="BS75" s="567">
        <f t="shared" si="142"/>
        <v>0</v>
      </c>
      <c r="BT75" s="274"/>
      <c r="BU75" s="274"/>
      <c r="BV75" s="274"/>
      <c r="BW75" s="274"/>
      <c r="BX75" s="570"/>
      <c r="BY75" s="1072">
        <f t="shared" si="148"/>
      </c>
      <c r="BZ75" s="393"/>
      <c r="CA75" s="842">
        <f t="shared" si="158"/>
      </c>
      <c r="CB75" s="842">
        <f t="shared" si="159"/>
      </c>
      <c r="CC75" s="842">
        <f t="shared" si="160"/>
      </c>
      <c r="CD75" s="842">
        <f t="shared" si="161"/>
      </c>
      <c r="CE75" s="919"/>
      <c r="CF75" s="1033">
        <f t="shared" si="149"/>
      </c>
      <c r="CG75" s="1033">
        <f t="shared" si="150"/>
      </c>
      <c r="CH75" s="1033">
        <f t="shared" si="151"/>
      </c>
      <c r="CI75" s="1033">
        <f t="shared" si="152"/>
      </c>
      <c r="CJ75" s="393"/>
      <c r="CK75" s="919"/>
      <c r="CL75" s="393"/>
      <c r="CM75" s="684"/>
      <c r="CN75" s="672"/>
      <c r="CO75" s="259" t="str">
        <f t="shared" si="143"/>
        <v>M</v>
      </c>
      <c r="CP75" s="260">
        <f t="shared" si="144"/>
      </c>
      <c r="CQ75" s="259"/>
      <c r="CR75" s="260"/>
      <c r="CS75" s="345">
        <f>IF(BM75="","",BM75)</f>
      </c>
      <c r="CT75" s="345">
        <f>IF(BN75="","",BN75)</f>
      </c>
      <c r="CU75" s="345">
        <f>IF(BO75="","",BO75)</f>
      </c>
      <c r="CV75" s="345">
        <f>IF(BP75="","",BP75)</f>
      </c>
      <c r="CW75" s="257">
        <f aca="true" t="shared" si="167" ref="CW75:CW82">IF(CO75="","",COUNTA(CS75:CV75)-COUNTIF(CS75:CV75,""))</f>
        <v>0</v>
      </c>
      <c r="CX75" s="69">
        <f t="shared" si="154"/>
        <v>0</v>
      </c>
      <c r="CY75" s="70">
        <f t="shared" si="155"/>
      </c>
      <c r="CZ75" s="39"/>
      <c r="DA75" s="304"/>
      <c r="DB75" s="304"/>
      <c r="DC75" s="304"/>
      <c r="DD75" s="33"/>
      <c r="DE75" s="71">
        <f t="shared" si="156"/>
        <v>0</v>
      </c>
      <c r="DF75" s="71" t="str">
        <f t="shared" si="157"/>
        <v>0</v>
      </c>
      <c r="DG75" s="393"/>
      <c r="DH75" s="393"/>
      <c r="DI75" s="919"/>
      <c r="DJ75" s="393"/>
      <c r="DK75" s="393"/>
      <c r="DL75" s="393"/>
      <c r="DM75" s="393"/>
      <c r="DN75" s="393"/>
      <c r="DO75" s="919"/>
      <c r="DP75" s="393"/>
      <c r="DQ75" s="393"/>
      <c r="DR75" s="393"/>
      <c r="DS75" s="393"/>
      <c r="DT75" s="393"/>
      <c r="DU75" s="919"/>
      <c r="DV75" s="393"/>
      <c r="DW75" s="393"/>
      <c r="DX75" s="393"/>
      <c r="DY75" s="393"/>
      <c r="DZ75" s="393"/>
      <c r="EA75" s="919"/>
      <c r="EB75" s="393"/>
      <c r="EC75" s="393"/>
      <c r="ED75" s="393"/>
      <c r="EE75" s="393"/>
      <c r="EF75" s="393"/>
      <c r="EG75" s="919"/>
      <c r="EH75" s="393"/>
      <c r="EI75" s="393"/>
      <c r="EJ75" s="393"/>
      <c r="EK75" s="393"/>
      <c r="EL75" s="393"/>
      <c r="EM75" s="393"/>
      <c r="EN75" s="919"/>
      <c r="EO75" s="393"/>
      <c r="EP75" s="393"/>
      <c r="EQ75" s="393"/>
      <c r="ER75" s="393"/>
      <c r="ES75" s="393"/>
      <c r="ET75" s="393"/>
      <c r="EU75" s="393"/>
      <c r="EV75" s="393"/>
      <c r="EW75" s="393"/>
      <c r="EX75" s="393"/>
      <c r="EY75" s="570"/>
      <c r="EZ75" s="570"/>
      <c r="FA75" s="324"/>
      <c r="FB75" s="393"/>
      <c r="FC75" s="393"/>
      <c r="FD75" s="393"/>
      <c r="FE75" s="393"/>
      <c r="FF75" s="324"/>
      <c r="FG75" s="324"/>
      <c r="FH75" s="324"/>
      <c r="FI75" s="324"/>
      <c r="FJ75" s="324"/>
      <c r="FK75" s="324"/>
      <c r="FL75" s="324"/>
      <c r="FM75" s="324"/>
      <c r="FN75" s="324"/>
      <c r="FO75" s="324"/>
      <c r="FP75" s="324"/>
      <c r="FQ75" s="579"/>
      <c r="FR75" s="579"/>
      <c r="FS75" s="579"/>
      <c r="FT75" s="579"/>
      <c r="FU75" s="579"/>
      <c r="FV75" s="579"/>
      <c r="FW75" s="579"/>
      <c r="FX75" s="579"/>
      <c r="FY75" s="324"/>
      <c r="FZ75" s="579"/>
      <c r="GA75" s="579"/>
      <c r="GB75" s="579"/>
      <c r="GC75" s="579"/>
      <c r="GD75" s="324"/>
      <c r="GE75" s="324"/>
      <c r="GF75" s="324"/>
      <c r="GG75" s="324"/>
      <c r="GH75" s="324"/>
      <c r="GI75" s="324"/>
      <c r="GJ75" s="71"/>
      <c r="GK75" s="71"/>
      <c r="GL75" s="324"/>
      <c r="GM75" s="324"/>
      <c r="GN75" s="324"/>
      <c r="GO75" s="324"/>
      <c r="GP75" s="324"/>
      <c r="GQ75" s="324"/>
      <c r="GR75" s="324"/>
      <c r="GS75" s="324"/>
      <c r="GT75" s="324"/>
      <c r="GU75" s="324"/>
      <c r="GV75" s="324"/>
      <c r="GW75" s="393"/>
      <c r="GX75" s="393"/>
      <c r="GY75" s="393"/>
      <c r="GZ75" s="393"/>
      <c r="HA75" s="324"/>
      <c r="HB75" s="324"/>
      <c r="HC75" s="324"/>
      <c r="HD75" s="324"/>
      <c r="HE75" s="324"/>
      <c r="HF75" s="324"/>
      <c r="HG75" s="393"/>
      <c r="HH75" s="393"/>
      <c r="HI75" s="393"/>
      <c r="HJ75" s="393"/>
      <c r="HK75" s="393"/>
      <c r="HL75" s="393"/>
      <c r="HM75" s="324"/>
      <c r="HN75" s="324"/>
    </row>
    <row r="76" spans="23:222" ht="24">
      <c r="W76" s="570"/>
      <c r="X76" s="255"/>
      <c r="Y76" s="64"/>
      <c r="Z76" s="570"/>
      <c r="AA76" s="570"/>
      <c r="AB76" s="570"/>
      <c r="AC76" s="570"/>
      <c r="AD76" s="570"/>
      <c r="AE76" s="391"/>
      <c r="AF76" s="391"/>
      <c r="AG76" s="391"/>
      <c r="AH76" s="391"/>
      <c r="AI76" s="391"/>
      <c r="AJ76" s="391"/>
      <c r="AK76" s="570"/>
      <c r="AL76" s="1076" t="e">
        <f ca="1">INDIRECT("Z"&amp;AN76)</f>
        <v>#VALUE!</v>
      </c>
      <c r="AM76" s="391" t="s">
        <v>392</v>
      </c>
      <c r="AN76" s="1087" t="e">
        <f>A29</f>
        <v>#VALUE!</v>
      </c>
      <c r="AO76" s="1086" t="e">
        <f ca="1">SUM(INDIRECT("H"&amp;AN76&amp;":K"&amp;AN76))</f>
        <v>#VALUE!</v>
      </c>
      <c r="AP76" s="1088" t="e">
        <f ca="1">SUM(INDIRECT("J"&amp;AN76&amp;":K"&amp;AN76))</f>
        <v>#VALUE!</v>
      </c>
      <c r="AQ76" s="1078"/>
      <c r="AR76" s="1091">
        <f>IF(AL78="","",AO76-AO78)</f>
      </c>
      <c r="AS76" s="1448"/>
      <c r="AT76" s="1081" t="e">
        <f ca="1">LARGE(INDIRECT("H"&amp;AN76&amp;":K"&amp;AN76),$AT$58)</f>
        <v>#VALUE!</v>
      </c>
      <c r="AU76" s="1081" t="e">
        <f ca="1">LARGE(INDIRECT("H"&amp;AN76&amp;":K"&amp;AN76),$AU$58)</f>
        <v>#VALUE!</v>
      </c>
      <c r="AV76" s="1081" t="e">
        <f ca="1">LARGE(INDIRECT("H"&amp;AN76&amp;":K"&amp;AN76),$AV$58)</f>
        <v>#VALUE!</v>
      </c>
      <c r="AW76" s="391"/>
      <c r="AX76" s="391"/>
      <c r="AY76" s="391"/>
      <c r="AZ76" s="1098" t="e">
        <f ca="1">IF(AL76="","",MAX(INDIRECT("J"&amp;AN76&amp;":K"&amp;AN76)))</f>
        <v>#VALUE!</v>
      </c>
      <c r="BA76" s="391"/>
      <c r="BB76" s="391"/>
      <c r="BC76" s="391"/>
      <c r="BD76" s="585"/>
      <c r="BE76" s="391"/>
      <c r="BF76" s="391"/>
      <c r="BG76" s="585"/>
      <c r="BH76" s="585"/>
      <c r="BI76" s="585"/>
      <c r="BJ76" s="391" t="s">
        <v>71</v>
      </c>
      <c r="BK76" s="1099">
        <v>24</v>
      </c>
      <c r="BL76" s="1100"/>
      <c r="BM76" s="1099">
        <f aca="true" t="shared" si="168" ref="BM76:BN78">IF(ISNA(MATCH("g",$AT$82:$AV$82,0))=TRUE,BM25,IF(AND($AN$78=$BK76,OR($AT$82="g",$AU$82="g",$AV$82="g")),VLOOKUP($AL$78,$D$25:$K$27,BM$59,FALSE),""))</f>
      </c>
      <c r="BN76" s="1099">
        <f t="shared" si="168"/>
      </c>
      <c r="BO76" s="1099">
        <f aca="true" t="shared" si="169" ref="BO76:BP78">IF(ISNA(MATCH("g",$AT$82:$AV$82,0))=TRUE,BO25,IF(AND($AN$78=$BK76,OR($AV$82="g",$AU$82="g",$AT$82="g")),VLOOKUP($AL$78,$D$25:$K$27,BO$59,FALSE),IF(AND($AN$77=$BK76,$AL$77=$BF$36),VLOOKUP($AL$77,$D$25:$K$27,BO$59,FALSE),"")))</f>
      </c>
      <c r="BP76" s="1099">
        <f t="shared" si="169"/>
      </c>
      <c r="BQ76" s="313">
        <f t="shared" si="140"/>
        <v>0</v>
      </c>
      <c r="BR76" s="567">
        <f t="shared" si="141"/>
        <v>0</v>
      </c>
      <c r="BS76" s="567">
        <f t="shared" si="142"/>
        <v>0</v>
      </c>
      <c r="BT76" s="842">
        <f aca="true" t="shared" si="170" ref="BT76:BW81">IF(OR(BM76&lt;&gt;"",H25="",$AA25&lt;&gt;0),"",H25)</f>
      </c>
      <c r="BU76" s="842">
        <f t="shared" si="170"/>
      </c>
      <c r="BV76" s="842">
        <f t="shared" si="170"/>
      </c>
      <c r="BW76" s="842">
        <f t="shared" si="170"/>
      </c>
      <c r="BX76" s="570"/>
      <c r="BY76" s="1072">
        <f t="shared" si="148"/>
      </c>
      <c r="BZ76" s="393"/>
      <c r="CA76" s="842">
        <f t="shared" si="158"/>
      </c>
      <c r="CB76" s="842">
        <f t="shared" si="159"/>
      </c>
      <c r="CC76" s="842">
        <f t="shared" si="160"/>
      </c>
      <c r="CD76" s="842">
        <f t="shared" si="161"/>
      </c>
      <c r="CE76" s="919"/>
      <c r="CF76" s="1033">
        <f t="shared" si="149"/>
      </c>
      <c r="CG76" s="1033">
        <f t="shared" si="150"/>
      </c>
      <c r="CH76" s="1033">
        <f t="shared" si="151"/>
      </c>
      <c r="CI76" s="1033">
        <f t="shared" si="152"/>
      </c>
      <c r="CJ76" s="393"/>
      <c r="CK76" s="919"/>
      <c r="CL76" s="393"/>
      <c r="CM76" s="684"/>
      <c r="CN76" s="672"/>
      <c r="CO76" s="259" t="str">
        <f t="shared" si="143"/>
        <v>BI</v>
      </c>
      <c r="CP76" s="260">
        <f t="shared" si="144"/>
      </c>
      <c r="CQ76" s="259"/>
      <c r="CR76" s="260"/>
      <c r="CS76" s="345">
        <f aca="true" t="shared" si="171" ref="CS76:CV82">IF(OR($Z25="",H25=""),"",IF(BM76&lt;&gt;"",BM76,IF(CF76&lt;&gt;"",CF76,"("&amp;H25&amp;")")))</f>
      </c>
      <c r="CT76" s="345">
        <f t="shared" si="171"/>
      </c>
      <c r="CU76" s="345">
        <f t="shared" si="171"/>
      </c>
      <c r="CV76" s="345">
        <f t="shared" si="171"/>
      </c>
      <c r="CW76" s="50">
        <f t="shared" si="167"/>
        <v>0</v>
      </c>
      <c r="CX76" s="69">
        <f t="shared" si="154"/>
        <v>0</v>
      </c>
      <c r="CY76" s="70">
        <f t="shared" si="155"/>
      </c>
      <c r="CZ76" s="39"/>
      <c r="DA76" s="304"/>
      <c r="DB76" s="304"/>
      <c r="DC76" s="304"/>
      <c r="DD76" s="33"/>
      <c r="DE76" s="71">
        <f t="shared" si="156"/>
        <v>0</v>
      </c>
      <c r="DF76" s="71" t="str">
        <f t="shared" si="157"/>
        <v>0</v>
      </c>
      <c r="DG76" s="393"/>
      <c r="DH76" s="393"/>
      <c r="DI76" s="919"/>
      <c r="DJ76" s="393"/>
      <c r="DK76" s="393"/>
      <c r="DL76" s="393"/>
      <c r="DM76" s="393"/>
      <c r="DN76" s="393"/>
      <c r="DO76" s="919"/>
      <c r="DP76" s="393"/>
      <c r="DQ76" s="393"/>
      <c r="DR76" s="393"/>
      <c r="DS76" s="393"/>
      <c r="DT76" s="393"/>
      <c r="DU76" s="919"/>
      <c r="DV76" s="393"/>
      <c r="DW76" s="393"/>
      <c r="DX76" s="393"/>
      <c r="DY76" s="393"/>
      <c r="DZ76" s="393"/>
      <c r="EA76" s="919"/>
      <c r="EB76" s="393"/>
      <c r="EC76" s="393"/>
      <c r="ED76" s="393"/>
      <c r="EE76" s="393"/>
      <c r="EF76" s="393"/>
      <c r="EG76" s="919"/>
      <c r="EH76" s="393"/>
      <c r="EI76" s="393"/>
      <c r="EJ76" s="393"/>
      <c r="EK76" s="393"/>
      <c r="EL76" s="393"/>
      <c r="EM76" s="393"/>
      <c r="EN76" s="919"/>
      <c r="EO76" s="393"/>
      <c r="EP76" s="393"/>
      <c r="EQ76" s="393"/>
      <c r="ER76" s="393"/>
      <c r="ES76" s="393"/>
      <c r="ET76" s="393"/>
      <c r="EU76" s="393"/>
      <c r="EV76" s="393"/>
      <c r="EW76" s="393"/>
      <c r="EX76" s="393"/>
      <c r="EY76" s="570"/>
      <c r="EZ76" s="570"/>
      <c r="FA76" s="324"/>
      <c r="FB76" s="393"/>
      <c r="FC76" s="393"/>
      <c r="FD76" s="393"/>
      <c r="FE76" s="393"/>
      <c r="FF76" s="324"/>
      <c r="FG76" s="324"/>
      <c r="FH76" s="324"/>
      <c r="FI76" s="324"/>
      <c r="FJ76" s="324"/>
      <c r="FK76" s="324"/>
      <c r="FL76" s="324"/>
      <c r="FM76" s="324"/>
      <c r="FN76" s="324"/>
      <c r="FO76" s="324"/>
      <c r="FP76" s="324"/>
      <c r="FQ76" s="579"/>
      <c r="FR76" s="579"/>
      <c r="FS76" s="579"/>
      <c r="FT76" s="579"/>
      <c r="FU76" s="579"/>
      <c r="FV76" s="579"/>
      <c r="FW76" s="579"/>
      <c r="FX76" s="579"/>
      <c r="FY76" s="324"/>
      <c r="FZ76" s="579"/>
      <c r="GA76" s="579"/>
      <c r="GB76" s="579"/>
      <c r="GC76" s="579"/>
      <c r="GD76" s="324"/>
      <c r="GE76" s="324"/>
      <c r="GF76" s="324"/>
      <c r="GG76" s="324"/>
      <c r="GH76" s="324"/>
      <c r="GI76" s="324"/>
      <c r="GJ76" s="71"/>
      <c r="GK76" s="71"/>
      <c r="GL76" s="324"/>
      <c r="GM76" s="324"/>
      <c r="GN76" s="324"/>
      <c r="GO76" s="324"/>
      <c r="GP76" s="324"/>
      <c r="GQ76" s="324"/>
      <c r="GR76" s="324"/>
      <c r="GS76" s="324"/>
      <c r="GT76" s="324"/>
      <c r="GU76" s="324"/>
      <c r="GV76" s="324"/>
      <c r="GW76" s="393"/>
      <c r="GX76" s="393"/>
      <c r="GY76" s="393"/>
      <c r="GZ76" s="393"/>
      <c r="HA76" s="324"/>
      <c r="HB76" s="324"/>
      <c r="HC76" s="324"/>
      <c r="HD76" s="324"/>
      <c r="HE76" s="324"/>
      <c r="HF76" s="324"/>
      <c r="HG76" s="393"/>
      <c r="HH76" s="393"/>
      <c r="HI76" s="393"/>
      <c r="HJ76" s="393"/>
      <c r="HK76" s="393"/>
      <c r="HL76" s="393"/>
      <c r="HM76" s="324"/>
      <c r="HN76" s="324"/>
    </row>
    <row r="77" spans="23:222" ht="24">
      <c r="W77" s="570"/>
      <c r="X77" s="333"/>
      <c r="Y77" s="656"/>
      <c r="Z77" s="570"/>
      <c r="AA77" s="570"/>
      <c r="AB77" s="570"/>
      <c r="AC77" s="570"/>
      <c r="AD77" s="570"/>
      <c r="AE77" s="391"/>
      <c r="AF77" s="391"/>
      <c r="AG77" s="391"/>
      <c r="AH77" s="391"/>
      <c r="AI77" s="391"/>
      <c r="AJ77" s="391"/>
      <c r="AK77" s="570"/>
      <c r="AL77" s="1076">
        <f ca="1">IF(AN77="","",INDIRECT("Z"&amp;AN77))</f>
      </c>
      <c r="AM77" s="391" t="s">
        <v>393</v>
      </c>
      <c r="AN77" s="1087">
        <f>B29</f>
      </c>
      <c r="AO77" s="1086">
        <f ca="1">IF(AL77="","",SUM(INDIRECT("H"&amp;AN77&amp;":K"&amp;AN77)))</f>
      </c>
      <c r="AP77" s="1088">
        <f ca="1">IF(AL77="","",SUM(INDIRECT("J"&amp;AN77&amp;":K"&amp;AN77)))</f>
      </c>
      <c r="AQ77" s="1078"/>
      <c r="AR77" s="1092">
        <f>IF(AL78="","",AP77-AP78)</f>
      </c>
      <c r="AS77" s="1448"/>
      <c r="AT77" s="1081">
        <f ca="1">IF(AL77="","",LARGE(INDIRECT("H"&amp;AN77&amp;":K"&amp;AN77),$AT$58))</f>
      </c>
      <c r="AU77" s="1081">
        <f ca="1">IF(AL77="","",LARGE(INDIRECT("H"&amp;AN77&amp;":K"&amp;AN77),$AU$58))</f>
      </c>
      <c r="AV77" s="1081">
        <f ca="1">IF(AL77="","",LARGE(INDIRECT("H"&amp;AN77&amp;":K"&amp;AN77),$AV$58))</f>
      </c>
      <c r="AW77" s="391"/>
      <c r="AX77" s="391"/>
      <c r="AY77" s="391"/>
      <c r="AZ77" s="1098">
        <f ca="1">IF(AL77="","",MAX(INDIRECT("J"&amp;AN77&amp;":K"&amp;AN77)))</f>
      </c>
      <c r="BA77" s="391"/>
      <c r="BB77" s="391"/>
      <c r="BC77" s="391"/>
      <c r="BD77" s="585"/>
      <c r="BE77" s="391"/>
      <c r="BF77" s="585"/>
      <c r="BG77" s="585"/>
      <c r="BH77" s="585"/>
      <c r="BI77" s="585"/>
      <c r="BJ77" s="391"/>
      <c r="BK77" s="1099">
        <v>25</v>
      </c>
      <c r="BL77" s="1100"/>
      <c r="BM77" s="1099">
        <f t="shared" si="168"/>
      </c>
      <c r="BN77" s="1099">
        <f t="shared" si="168"/>
      </c>
      <c r="BO77" s="1099">
        <f t="shared" si="169"/>
      </c>
      <c r="BP77" s="1099">
        <f t="shared" si="169"/>
      </c>
      <c r="BQ77" s="313">
        <f t="shared" si="140"/>
        <v>0</v>
      </c>
      <c r="BR77" s="567">
        <f t="shared" si="141"/>
        <v>0</v>
      </c>
      <c r="BS77" s="567">
        <f t="shared" si="142"/>
        <v>0</v>
      </c>
      <c r="BT77" s="842">
        <f t="shared" si="170"/>
      </c>
      <c r="BU77" s="842">
        <f t="shared" si="170"/>
      </c>
      <c r="BV77" s="842">
        <f t="shared" si="170"/>
      </c>
      <c r="BW77" s="842">
        <f t="shared" si="170"/>
      </c>
      <c r="BX77" s="570"/>
      <c r="BY77" s="1072">
        <f t="shared" si="148"/>
      </c>
      <c r="BZ77" s="393"/>
      <c r="CA77" s="842">
        <f t="shared" si="158"/>
      </c>
      <c r="CB77" s="842">
        <f t="shared" si="159"/>
      </c>
      <c r="CC77" s="842">
        <f t="shared" si="160"/>
      </c>
      <c r="CD77" s="842">
        <f t="shared" si="161"/>
      </c>
      <c r="CE77" s="919"/>
      <c r="CF77" s="1033">
        <f t="shared" si="149"/>
      </c>
      <c r="CG77" s="1033">
        <f t="shared" si="150"/>
      </c>
      <c r="CH77" s="1033">
        <f t="shared" si="151"/>
      </c>
      <c r="CI77" s="1033">
        <f t="shared" si="152"/>
      </c>
      <c r="CJ77" s="393"/>
      <c r="CK77" s="919"/>
      <c r="CL77" s="393"/>
      <c r="CM77" s="684"/>
      <c r="CN77" s="672"/>
      <c r="CO77" s="259">
        <f t="shared" si="143"/>
      </c>
      <c r="CP77" s="260">
        <f t="shared" si="144"/>
      </c>
      <c r="CQ77" s="259"/>
      <c r="CR77" s="260"/>
      <c r="CS77" s="345">
        <f t="shared" si="171"/>
      </c>
      <c r="CT77" s="345">
        <f t="shared" si="171"/>
      </c>
      <c r="CU77" s="345">
        <f t="shared" si="171"/>
      </c>
      <c r="CV77" s="345">
        <f t="shared" si="171"/>
      </c>
      <c r="CW77" s="50">
        <f t="shared" si="167"/>
      </c>
      <c r="CX77" s="69">
        <f t="shared" si="154"/>
      </c>
      <c r="CY77" s="70">
        <f t="shared" si="155"/>
      </c>
      <c r="CZ77" s="33"/>
      <c r="DA77" s="304"/>
      <c r="DB77" s="304"/>
      <c r="DC77" s="304"/>
      <c r="DD77" s="33"/>
      <c r="DE77" s="71">
        <f t="shared" si="156"/>
        <v>0</v>
      </c>
      <c r="DF77" s="71" t="str">
        <f t="shared" si="157"/>
        <v>0</v>
      </c>
      <c r="DG77" s="393"/>
      <c r="DH77" s="393"/>
      <c r="DI77" s="919"/>
      <c r="DJ77" s="393"/>
      <c r="DK77" s="393"/>
      <c r="DL77" s="393"/>
      <c r="DM77" s="393"/>
      <c r="DN77" s="393"/>
      <c r="DO77" s="919"/>
      <c r="DP77" s="393"/>
      <c r="DQ77" s="393"/>
      <c r="DR77" s="393"/>
      <c r="DS77" s="393"/>
      <c r="DT77" s="393"/>
      <c r="DU77" s="919"/>
      <c r="DV77" s="393"/>
      <c r="DW77" s="393"/>
      <c r="DX77" s="393"/>
      <c r="DY77" s="393"/>
      <c r="DZ77" s="393"/>
      <c r="EA77" s="919"/>
      <c r="EB77" s="393"/>
      <c r="EC77" s="393"/>
      <c r="ED77" s="393"/>
      <c r="EE77" s="393"/>
      <c r="EF77" s="393"/>
      <c r="EG77" s="919"/>
      <c r="EH77" s="393"/>
      <c r="EI77" s="393"/>
      <c r="EJ77" s="393"/>
      <c r="EK77" s="393"/>
      <c r="EL77" s="393"/>
      <c r="EM77" s="393"/>
      <c r="EN77" s="919"/>
      <c r="EO77" s="393"/>
      <c r="EP77" s="393"/>
      <c r="EQ77" s="393"/>
      <c r="ER77" s="393"/>
      <c r="ES77" s="393"/>
      <c r="ET77" s="393"/>
      <c r="EU77" s="393"/>
      <c r="EV77" s="393"/>
      <c r="EW77" s="393"/>
      <c r="EX77" s="393"/>
      <c r="EY77" s="570"/>
      <c r="EZ77" s="570"/>
      <c r="FA77" s="324"/>
      <c r="FB77" s="393"/>
      <c r="FC77" s="393"/>
      <c r="FD77" s="393"/>
      <c r="FE77" s="393"/>
      <c r="FF77" s="324"/>
      <c r="FG77" s="324"/>
      <c r="FH77" s="324"/>
      <c r="FI77" s="324"/>
      <c r="FJ77" s="324"/>
      <c r="FK77" s="324"/>
      <c r="FL77" s="324"/>
      <c r="FM77" s="324"/>
      <c r="FN77" s="324"/>
      <c r="FO77" s="324"/>
      <c r="FP77" s="324"/>
      <c r="FQ77" s="579"/>
      <c r="FR77" s="579"/>
      <c r="FS77" s="579"/>
      <c r="FT77" s="579"/>
      <c r="FU77" s="579"/>
      <c r="FV77" s="579"/>
      <c r="FW77" s="579"/>
      <c r="FX77" s="579"/>
      <c r="FY77" s="324"/>
      <c r="FZ77" s="579"/>
      <c r="GA77" s="579"/>
      <c r="GB77" s="579"/>
      <c r="GC77" s="579"/>
      <c r="GD77" s="324"/>
      <c r="GE77" s="324"/>
      <c r="GF77" s="324"/>
      <c r="GG77" s="324"/>
      <c r="GH77" s="324"/>
      <c r="GI77" s="324"/>
      <c r="GJ77" s="71"/>
      <c r="GK77" s="71"/>
      <c r="GL77" s="324"/>
      <c r="GM77" s="324"/>
      <c r="GN77" s="324"/>
      <c r="GO77" s="324"/>
      <c r="GP77" s="324"/>
      <c r="GQ77" s="324"/>
      <c r="GR77" s="324"/>
      <c r="GS77" s="324"/>
      <c r="GT77" s="324"/>
      <c r="GU77" s="324"/>
      <c r="GV77" s="324"/>
      <c r="GW77" s="393"/>
      <c r="GX77" s="393"/>
      <c r="GY77" s="393"/>
      <c r="GZ77" s="393"/>
      <c r="HA77" s="324"/>
      <c r="HB77" s="324"/>
      <c r="HC77" s="324"/>
      <c r="HD77" s="324"/>
      <c r="HE77" s="324"/>
      <c r="HF77" s="324"/>
      <c r="HG77" s="393"/>
      <c r="HH77" s="393"/>
      <c r="HI77" s="393"/>
      <c r="HJ77" s="393"/>
      <c r="HK77" s="393"/>
      <c r="HL77" s="393"/>
      <c r="HM77" s="324"/>
      <c r="HN77" s="324"/>
    </row>
    <row r="78" spans="23:222" ht="15">
      <c r="W78" s="570"/>
      <c r="X78" s="255"/>
      <c r="Y78" s="64"/>
      <c r="Z78" s="570"/>
      <c r="AA78" s="570"/>
      <c r="AB78" s="570"/>
      <c r="AC78" s="570"/>
      <c r="AD78" s="570"/>
      <c r="AE78" s="391"/>
      <c r="AF78" s="391"/>
      <c r="AG78" s="391"/>
      <c r="AH78" s="391"/>
      <c r="AI78" s="391"/>
      <c r="AJ78" s="391"/>
      <c r="AK78" s="570"/>
      <c r="AL78" s="1076">
        <f ca="1">IF(AN78="","",INDIRECT("Z"&amp;AN78))</f>
      </c>
      <c r="AM78" s="391" t="s">
        <v>492</v>
      </c>
      <c r="AN78" s="1087">
        <f>C29</f>
      </c>
      <c r="AO78" s="1086">
        <f ca="1">IF(AL78="","",SUM(INDIRECT("H"&amp;AN78&amp;":K"&amp;AN78)))</f>
      </c>
      <c r="AP78" s="1088">
        <f ca="1">IF(AL78="","",SUM(INDIRECT("J"&amp;AN78&amp;":K"&amp;AN78)))</f>
      </c>
      <c r="AQ78" s="1078"/>
      <c r="AR78" s="585"/>
      <c r="AS78" s="391"/>
      <c r="AT78" s="1081">
        <f ca="1">IF(AL78="","",LARGE(INDIRECT("H"&amp;AN78&amp;":K"&amp;AN78),$AT$58))</f>
      </c>
      <c r="AU78" s="1081">
        <f ca="1">IF(AL78="","",LARGE(INDIRECT("H"&amp;AN78&amp;":K"&amp;AN78),$AU$58))</f>
      </c>
      <c r="AV78" s="1081">
        <f ca="1">IF(AL78="","",LARGE(INDIRECT("H"&amp;AN78&amp;":K"&amp;AN78),$AV$58))</f>
      </c>
      <c r="AW78" s="391"/>
      <c r="AX78" s="391"/>
      <c r="AY78" s="391"/>
      <c r="AZ78" s="1098">
        <f ca="1">IF(AL78="","",MAX(INDIRECT("J"&amp;AN78&amp;":K"&amp;AN78)))</f>
      </c>
      <c r="BA78" s="391"/>
      <c r="BB78" s="391"/>
      <c r="BC78" s="391"/>
      <c r="BD78" s="585"/>
      <c r="BE78" s="391"/>
      <c r="BF78" s="585"/>
      <c r="BG78" s="585"/>
      <c r="BH78" s="391"/>
      <c r="BI78" s="585"/>
      <c r="BJ78" s="391"/>
      <c r="BK78" s="1099">
        <v>26</v>
      </c>
      <c r="BL78" s="1100"/>
      <c r="BM78" s="1099">
        <f t="shared" si="168"/>
      </c>
      <c r="BN78" s="1099">
        <f t="shared" si="168"/>
      </c>
      <c r="BO78" s="1099">
        <f t="shared" si="169"/>
      </c>
      <c r="BP78" s="1099">
        <f t="shared" si="169"/>
      </c>
      <c r="BQ78" s="313">
        <f t="shared" si="140"/>
        <v>0</v>
      </c>
      <c r="BR78" s="567">
        <f t="shared" si="141"/>
        <v>0</v>
      </c>
      <c r="BS78" s="567">
        <f t="shared" si="142"/>
        <v>0</v>
      </c>
      <c r="BT78" s="842">
        <f t="shared" si="170"/>
      </c>
      <c r="BU78" s="842">
        <f t="shared" si="170"/>
      </c>
      <c r="BV78" s="842">
        <f t="shared" si="170"/>
      </c>
      <c r="BW78" s="842">
        <f t="shared" si="170"/>
      </c>
      <c r="BX78" s="570"/>
      <c r="BY78" s="1072">
        <f t="shared" si="148"/>
      </c>
      <c r="BZ78" s="393"/>
      <c r="CA78" s="842">
        <f t="shared" si="158"/>
      </c>
      <c r="CB78" s="842">
        <f t="shared" si="159"/>
      </c>
      <c r="CC78" s="842">
        <f t="shared" si="160"/>
      </c>
      <c r="CD78" s="842">
        <f t="shared" si="161"/>
      </c>
      <c r="CE78" s="919"/>
      <c r="CF78" s="1033">
        <f t="shared" si="149"/>
      </c>
      <c r="CG78" s="1033">
        <f t="shared" si="150"/>
      </c>
      <c r="CH78" s="1033">
        <f t="shared" si="151"/>
      </c>
      <c r="CI78" s="1033">
        <f t="shared" si="152"/>
      </c>
      <c r="CJ78" s="393"/>
      <c r="CK78" s="919"/>
      <c r="CL78" s="393"/>
      <c r="CM78" s="684"/>
      <c r="CN78" s="672"/>
      <c r="CO78" s="259">
        <f t="shared" si="143"/>
      </c>
      <c r="CP78" s="260">
        <f t="shared" si="144"/>
      </c>
      <c r="CQ78" s="259"/>
      <c r="CR78" s="260"/>
      <c r="CS78" s="345">
        <f t="shared" si="171"/>
      </c>
      <c r="CT78" s="345">
        <f t="shared" si="171"/>
      </c>
      <c r="CU78" s="345">
        <f t="shared" si="171"/>
      </c>
      <c r="CV78" s="345">
        <f t="shared" si="171"/>
      </c>
      <c r="CW78" s="50">
        <f t="shared" si="167"/>
      </c>
      <c r="CX78" s="69">
        <f t="shared" si="154"/>
      </c>
      <c r="CY78" s="70">
        <f t="shared" si="155"/>
      </c>
      <c r="CZ78" s="39"/>
      <c r="DA78" s="305"/>
      <c r="DB78" s="305"/>
      <c r="DC78" s="305"/>
      <c r="DD78" s="33"/>
      <c r="DE78" s="71">
        <f t="shared" si="156"/>
        <v>0</v>
      </c>
      <c r="DF78" s="71" t="str">
        <f t="shared" si="157"/>
        <v>0</v>
      </c>
      <c r="DG78" s="393"/>
      <c r="DH78" s="393"/>
      <c r="DI78" s="919"/>
      <c r="DJ78" s="393"/>
      <c r="DK78" s="393"/>
      <c r="DL78" s="393"/>
      <c r="DM78" s="393"/>
      <c r="DN78" s="393"/>
      <c r="DO78" s="919"/>
      <c r="DP78" s="393"/>
      <c r="DQ78" s="393"/>
      <c r="DR78" s="393"/>
      <c r="DS78" s="393"/>
      <c r="DT78" s="393"/>
      <c r="DU78" s="919"/>
      <c r="DV78" s="393"/>
      <c r="DW78" s="393"/>
      <c r="DX78" s="393"/>
      <c r="DY78" s="393"/>
      <c r="DZ78" s="393"/>
      <c r="EA78" s="919"/>
      <c r="EB78" s="393"/>
      <c r="EC78" s="393"/>
      <c r="ED78" s="393"/>
      <c r="EE78" s="393"/>
      <c r="EF78" s="393"/>
      <c r="EG78" s="919"/>
      <c r="EH78" s="393"/>
      <c r="EI78" s="393"/>
      <c r="EJ78" s="393"/>
      <c r="EK78" s="393"/>
      <c r="EL78" s="393"/>
      <c r="EM78" s="393"/>
      <c r="EN78" s="919"/>
      <c r="EO78" s="393"/>
      <c r="EP78" s="393"/>
      <c r="EQ78" s="393"/>
      <c r="ER78" s="393"/>
      <c r="ES78" s="393"/>
      <c r="ET78" s="393"/>
      <c r="EU78" s="393"/>
      <c r="EV78" s="393"/>
      <c r="EW78" s="393"/>
      <c r="EX78" s="393"/>
      <c r="EY78" s="570"/>
      <c r="EZ78" s="570"/>
      <c r="FA78" s="324"/>
      <c r="FB78" s="393"/>
      <c r="FC78" s="393"/>
      <c r="FD78" s="393"/>
      <c r="FE78" s="393"/>
      <c r="FF78" s="324"/>
      <c r="FG78" s="324"/>
      <c r="FH78" s="324"/>
      <c r="FI78" s="324"/>
      <c r="FJ78" s="324"/>
      <c r="FK78" s="324"/>
      <c r="FL78" s="324"/>
      <c r="FM78" s="324"/>
      <c r="FN78" s="324"/>
      <c r="FO78" s="324"/>
      <c r="FP78" s="324"/>
      <c r="FQ78" s="579"/>
      <c r="FR78" s="579"/>
      <c r="FS78" s="579"/>
      <c r="FT78" s="579"/>
      <c r="FU78" s="579"/>
      <c r="FV78" s="579"/>
      <c r="FW78" s="579"/>
      <c r="FX78" s="579"/>
      <c r="FY78" s="324"/>
      <c r="FZ78" s="579"/>
      <c r="GA78" s="579"/>
      <c r="GB78" s="579"/>
      <c r="GC78" s="579"/>
      <c r="GD78" s="324"/>
      <c r="GE78" s="324"/>
      <c r="GF78" s="324"/>
      <c r="GG78" s="324"/>
      <c r="GH78" s="324"/>
      <c r="GI78" s="324"/>
      <c r="GJ78" s="71"/>
      <c r="GK78" s="71"/>
      <c r="GL78" s="324"/>
      <c r="GM78" s="324"/>
      <c r="GN78" s="324"/>
      <c r="GO78" s="324"/>
      <c r="GP78" s="324"/>
      <c r="GQ78" s="324"/>
      <c r="GR78" s="324"/>
      <c r="GS78" s="324"/>
      <c r="GT78" s="324"/>
      <c r="GU78" s="324"/>
      <c r="GV78" s="324"/>
      <c r="GW78" s="393"/>
      <c r="GX78" s="393"/>
      <c r="GY78" s="393"/>
      <c r="GZ78" s="393"/>
      <c r="HA78" s="324"/>
      <c r="HB78" s="324"/>
      <c r="HC78" s="324"/>
      <c r="HD78" s="324"/>
      <c r="HE78" s="324"/>
      <c r="HF78" s="324"/>
      <c r="HG78" s="393"/>
      <c r="HH78" s="393"/>
      <c r="HI78" s="393"/>
      <c r="HJ78" s="393"/>
      <c r="HK78" s="393"/>
      <c r="HL78" s="393"/>
      <c r="HM78" s="324"/>
      <c r="HN78" s="324"/>
    </row>
    <row r="79" spans="23:222" ht="15">
      <c r="W79" s="570"/>
      <c r="X79" s="255"/>
      <c r="Y79" s="64"/>
      <c r="Z79" s="570"/>
      <c r="AA79" s="736"/>
      <c r="AB79" s="736"/>
      <c r="AC79" s="736"/>
      <c r="AD79" s="736"/>
      <c r="AE79" s="255"/>
      <c r="AF79" s="255"/>
      <c r="AG79" s="255"/>
      <c r="AH79" s="255"/>
      <c r="AI79" s="391"/>
      <c r="AJ79" s="391"/>
      <c r="AK79" s="570"/>
      <c r="AL79" s="568"/>
      <c r="AM79" s="391"/>
      <c r="AN79" s="107"/>
      <c r="AO79" s="1074"/>
      <c r="AP79" s="1102"/>
      <c r="AQ79" s="1102"/>
      <c r="AR79" s="1093" t="s">
        <v>518</v>
      </c>
      <c r="AS79" s="391"/>
      <c r="AT79" s="391"/>
      <c r="AU79" s="391"/>
      <c r="AV79" s="391"/>
      <c r="AW79" s="391"/>
      <c r="AX79" s="391"/>
      <c r="AY79" s="391"/>
      <c r="AZ79" s="391"/>
      <c r="BA79" s="391"/>
      <c r="BB79" s="391"/>
      <c r="BC79" s="391"/>
      <c r="BD79" s="585"/>
      <c r="BE79" s="391"/>
      <c r="BF79" s="585"/>
      <c r="BG79" s="585"/>
      <c r="BH79" s="585"/>
      <c r="BI79" s="391"/>
      <c r="BJ79" s="391"/>
      <c r="BM79" s="44">
        <f aca="true" t="shared" si="172" ref="BM79:BP81">BM28</f>
      </c>
      <c r="BN79" s="44">
        <f t="shared" si="172"/>
      </c>
      <c r="BO79" s="44">
        <f t="shared" si="172"/>
      </c>
      <c r="BP79" s="44">
        <f t="shared" si="172"/>
      </c>
      <c r="BQ79" s="313">
        <f t="shared" si="140"/>
        <v>0</v>
      </c>
      <c r="BR79" s="567">
        <f t="shared" si="141"/>
        <v>0</v>
      </c>
      <c r="BS79" s="567">
        <f t="shared" si="142"/>
        <v>0</v>
      </c>
      <c r="BT79" s="842">
        <f t="shared" si="170"/>
      </c>
      <c r="BU79" s="842">
        <f t="shared" si="170"/>
      </c>
      <c r="BV79" s="842">
        <f t="shared" si="170"/>
      </c>
      <c r="BW79" s="842">
        <f t="shared" si="170"/>
      </c>
      <c r="BX79" s="570"/>
      <c r="BY79" s="1072">
        <f t="shared" si="148"/>
      </c>
      <c r="BZ79" s="393"/>
      <c r="CA79" s="842">
        <f t="shared" si="158"/>
      </c>
      <c r="CB79" s="842">
        <f t="shared" si="159"/>
      </c>
      <c r="CC79" s="842">
        <f t="shared" si="160"/>
      </c>
      <c r="CD79" s="842">
        <f t="shared" si="161"/>
      </c>
      <c r="CE79" s="919"/>
      <c r="CF79" s="1033">
        <f t="shared" si="149"/>
      </c>
      <c r="CG79" s="1033">
        <f t="shared" si="150"/>
      </c>
      <c r="CH79" s="1033">
        <f t="shared" si="151"/>
      </c>
      <c r="CI79" s="1033">
        <f t="shared" si="152"/>
      </c>
      <c r="CJ79" s="393"/>
      <c r="CK79" s="919"/>
      <c r="CL79" s="393"/>
      <c r="CM79" s="684"/>
      <c r="CN79" s="672"/>
      <c r="CO79" s="261">
        <f t="shared" si="143"/>
      </c>
      <c r="CP79" s="262">
        <f t="shared" si="144"/>
      </c>
      <c r="CQ79" s="261"/>
      <c r="CR79" s="262"/>
      <c r="CS79" s="346">
        <f t="shared" si="171"/>
      </c>
      <c r="CT79" s="347">
        <f t="shared" si="171"/>
      </c>
      <c r="CU79" s="347">
        <f t="shared" si="171"/>
      </c>
      <c r="CV79" s="347">
        <f t="shared" si="171"/>
      </c>
      <c r="CW79" s="565">
        <f t="shared" si="167"/>
      </c>
      <c r="CX79" s="420">
        <f t="shared" si="154"/>
      </c>
      <c r="CY79" s="494">
        <f t="shared" si="155"/>
      </c>
      <c r="CZ79" s="39"/>
      <c r="DA79" s="33"/>
      <c r="DB79" s="33"/>
      <c r="DC79" s="33"/>
      <c r="DD79" s="33"/>
      <c r="DE79" s="71">
        <f t="shared" si="156"/>
        <v>0</v>
      </c>
      <c r="DF79" s="71" t="str">
        <f t="shared" si="157"/>
        <v>0</v>
      </c>
      <c r="DG79" s="393"/>
      <c r="DH79" s="393"/>
      <c r="DI79" s="919"/>
      <c r="DJ79" s="393"/>
      <c r="DK79" s="393"/>
      <c r="DL79" s="393"/>
      <c r="DM79" s="393"/>
      <c r="DN79" s="393"/>
      <c r="DO79" s="919"/>
      <c r="DP79" s="393"/>
      <c r="DQ79" s="393"/>
      <c r="DR79" s="393"/>
      <c r="DS79" s="393"/>
      <c r="DT79" s="393"/>
      <c r="DU79" s="919"/>
      <c r="DV79" s="393"/>
      <c r="DW79" s="393"/>
      <c r="DX79" s="393"/>
      <c r="DY79" s="393"/>
      <c r="DZ79" s="393"/>
      <c r="EA79" s="919"/>
      <c r="EB79" s="393"/>
      <c r="EC79" s="393"/>
      <c r="ED79" s="393"/>
      <c r="EE79" s="393"/>
      <c r="EF79" s="393"/>
      <c r="EG79" s="919"/>
      <c r="EH79" s="393"/>
      <c r="EI79" s="393"/>
      <c r="EJ79" s="393"/>
      <c r="EK79" s="393"/>
      <c r="EL79" s="393"/>
      <c r="EM79" s="393"/>
      <c r="EN79" s="919"/>
      <c r="EO79" s="393"/>
      <c r="EP79" s="393"/>
      <c r="EQ79" s="393"/>
      <c r="ER79" s="393"/>
      <c r="ES79" s="393"/>
      <c r="ET79" s="393"/>
      <c r="EU79" s="393"/>
      <c r="EV79" s="393"/>
      <c r="EW79" s="393"/>
      <c r="EX79" s="393"/>
      <c r="EY79" s="570"/>
      <c r="EZ79" s="570"/>
      <c r="FA79" s="324"/>
      <c r="FB79" s="393"/>
      <c r="FC79" s="393"/>
      <c r="FD79" s="393"/>
      <c r="FE79" s="393"/>
      <c r="FF79" s="324"/>
      <c r="FG79" s="324"/>
      <c r="FH79" s="324"/>
      <c r="FI79" s="324"/>
      <c r="FJ79" s="324"/>
      <c r="FK79" s="324"/>
      <c r="FL79" s="324"/>
      <c r="FM79" s="324"/>
      <c r="FN79" s="324"/>
      <c r="FO79" s="324"/>
      <c r="FP79" s="324"/>
      <c r="FQ79" s="579"/>
      <c r="FR79" s="579"/>
      <c r="FS79" s="579"/>
      <c r="FT79" s="579"/>
      <c r="FU79" s="579"/>
      <c r="FV79" s="579"/>
      <c r="FW79" s="579"/>
      <c r="FX79" s="579"/>
      <c r="FY79" s="324"/>
      <c r="FZ79" s="579"/>
      <c r="GA79" s="579"/>
      <c r="GB79" s="579"/>
      <c r="GC79" s="579"/>
      <c r="GD79" s="324"/>
      <c r="GE79" s="324"/>
      <c r="GF79" s="324"/>
      <c r="GG79" s="324"/>
      <c r="GH79" s="324"/>
      <c r="GI79" s="324"/>
      <c r="GJ79" s="71"/>
      <c r="GK79" s="71"/>
      <c r="GL79" s="324"/>
      <c r="GM79" s="324"/>
      <c r="GN79" s="324"/>
      <c r="GO79" s="324"/>
      <c r="GP79" s="324"/>
      <c r="GQ79" s="324"/>
      <c r="GR79" s="324"/>
      <c r="GS79" s="324"/>
      <c r="GT79" s="324"/>
      <c r="GU79" s="324"/>
      <c r="GV79" s="324"/>
      <c r="GW79" s="393"/>
      <c r="GX79" s="393"/>
      <c r="GY79" s="393"/>
      <c r="GZ79" s="393"/>
      <c r="HA79" s="324"/>
      <c r="HB79" s="324"/>
      <c r="HC79" s="324"/>
      <c r="HD79" s="324"/>
      <c r="HE79" s="324"/>
      <c r="HF79" s="324"/>
      <c r="HG79" s="393"/>
      <c r="HH79" s="393"/>
      <c r="HI79" s="393"/>
      <c r="HJ79" s="393"/>
      <c r="HK79" s="393"/>
      <c r="HL79" s="393"/>
      <c r="HM79" s="324"/>
      <c r="HN79" s="324"/>
    </row>
    <row r="80" spans="23:222" ht="15">
      <c r="W80" s="570"/>
      <c r="X80" s="255"/>
      <c r="Y80" s="64"/>
      <c r="Z80" s="570"/>
      <c r="AA80" s="736"/>
      <c r="AB80" s="736"/>
      <c r="AC80" s="736"/>
      <c r="AD80" s="736"/>
      <c r="AE80" s="255"/>
      <c r="AF80" s="255"/>
      <c r="AG80" s="255"/>
      <c r="AH80" s="255"/>
      <c r="AI80" s="391"/>
      <c r="AJ80" s="391"/>
      <c r="AK80" s="570"/>
      <c r="AL80" s="568"/>
      <c r="AM80" s="391"/>
      <c r="AN80" s="391"/>
      <c r="AO80" s="391"/>
      <c r="AP80" s="391"/>
      <c r="AQ80" s="585"/>
      <c r="AR80" s="585"/>
      <c r="AS80" s="391"/>
      <c r="AT80" s="391"/>
      <c r="AU80" s="391"/>
      <c r="AV80" s="391"/>
      <c r="AW80" s="391"/>
      <c r="AX80" s="391"/>
      <c r="AY80" s="391"/>
      <c r="AZ80" s="391"/>
      <c r="BA80" s="391"/>
      <c r="BB80" s="391"/>
      <c r="BC80" s="391"/>
      <c r="BD80" s="391"/>
      <c r="BE80" s="391"/>
      <c r="BF80" s="391"/>
      <c r="BG80" s="391"/>
      <c r="BH80" s="391"/>
      <c r="BI80" s="391"/>
      <c r="BJ80" s="391" t="s">
        <v>72</v>
      </c>
      <c r="BM80" s="44" t="e">
        <f t="shared" si="172"/>
        <v>#NUM!</v>
      </c>
      <c r="BN80" s="44" t="e">
        <f t="shared" si="172"/>
        <v>#NUM!</v>
      </c>
      <c r="BO80" s="44" t="e">
        <f t="shared" si="172"/>
        <v>#NUM!</v>
      </c>
      <c r="BP80" s="44" t="e">
        <f t="shared" si="172"/>
        <v>#NUM!</v>
      </c>
      <c r="BQ80" s="313">
        <f t="shared" si="140"/>
        <v>0</v>
      </c>
      <c r="BR80" s="567">
        <f t="shared" si="141"/>
        <v>0</v>
      </c>
      <c r="BS80" s="567">
        <f t="shared" si="142"/>
        <v>0</v>
      </c>
      <c r="BT80" s="842" t="e">
        <f t="shared" si="170"/>
        <v>#NUM!</v>
      </c>
      <c r="BU80" s="842" t="e">
        <f t="shared" si="170"/>
        <v>#NUM!</v>
      </c>
      <c r="BV80" s="842" t="e">
        <f t="shared" si="170"/>
        <v>#NUM!</v>
      </c>
      <c r="BW80" s="842" t="e">
        <f t="shared" si="170"/>
        <v>#NUM!</v>
      </c>
      <c r="BX80" s="570"/>
      <c r="BY80" s="1072">
        <f t="shared" si="148"/>
      </c>
      <c r="BZ80" s="393"/>
      <c r="CA80" s="842">
        <f t="shared" si="158"/>
      </c>
      <c r="CB80" s="842">
        <f t="shared" si="159"/>
      </c>
      <c r="CC80" s="842">
        <f t="shared" si="160"/>
      </c>
      <c r="CD80" s="842">
        <f t="shared" si="161"/>
      </c>
      <c r="CE80" s="919"/>
      <c r="CF80" s="1033">
        <f t="shared" si="149"/>
      </c>
      <c r="CG80" s="1033">
        <f t="shared" si="150"/>
      </c>
      <c r="CH80" s="1033">
        <f t="shared" si="151"/>
      </c>
      <c r="CI80" s="1033">
        <f t="shared" si="152"/>
      </c>
      <c r="CJ80" s="393"/>
      <c r="CK80" s="919"/>
      <c r="CL80" s="393"/>
      <c r="CM80" s="684"/>
      <c r="CN80" s="672"/>
      <c r="CO80" s="259" t="str">
        <f t="shared" si="143"/>
        <v>KR</v>
      </c>
      <c r="CP80" s="260">
        <f t="shared" si="144"/>
      </c>
      <c r="CQ80" s="489"/>
      <c r="CR80" s="493"/>
      <c r="CS80" s="345">
        <f t="shared" si="171"/>
      </c>
      <c r="CT80" s="345">
        <f t="shared" si="171"/>
      </c>
      <c r="CU80" s="345">
        <f t="shared" si="171"/>
      </c>
      <c r="CV80" s="345">
        <f t="shared" si="171"/>
      </c>
      <c r="CW80" s="257">
        <f t="shared" si="167"/>
        <v>0</v>
      </c>
      <c r="CX80" s="69">
        <f t="shared" si="154"/>
        <v>0</v>
      </c>
      <c r="CY80" s="70">
        <f t="shared" si="155"/>
      </c>
      <c r="CZ80" s="39"/>
      <c r="DA80" s="801"/>
      <c r="DB80" s="801"/>
      <c r="DC80" s="801"/>
      <c r="DD80" s="801"/>
      <c r="DE80" s="71">
        <f t="shared" si="156"/>
        <v>0</v>
      </c>
      <c r="DF80" s="71" t="str">
        <f t="shared" si="157"/>
        <v>0</v>
      </c>
      <c r="DG80" s="393"/>
      <c r="DH80" s="393"/>
      <c r="DI80" s="919"/>
      <c r="DJ80" s="393"/>
      <c r="DK80" s="393"/>
      <c r="DL80" s="393"/>
      <c r="DM80" s="393"/>
      <c r="DN80" s="393"/>
      <c r="DO80" s="919"/>
      <c r="DP80" s="393"/>
      <c r="DQ80" s="393"/>
      <c r="DR80" s="393"/>
      <c r="DS80" s="393"/>
      <c r="DT80" s="393"/>
      <c r="DU80" s="919"/>
      <c r="DV80" s="393"/>
      <c r="DW80" s="393"/>
      <c r="DX80" s="393"/>
      <c r="DY80" s="393"/>
      <c r="DZ80" s="393"/>
      <c r="EA80" s="919"/>
      <c r="EB80" s="393"/>
      <c r="EC80" s="393"/>
      <c r="ED80" s="393"/>
      <c r="EE80" s="393"/>
      <c r="EF80" s="393"/>
      <c r="EG80" s="919"/>
      <c r="EH80" s="393"/>
      <c r="EI80" s="393"/>
      <c r="EJ80" s="393"/>
      <c r="EK80" s="393"/>
      <c r="EL80" s="393"/>
      <c r="EM80" s="393"/>
      <c r="EN80" s="919"/>
      <c r="EO80" s="393"/>
      <c r="EP80" s="393"/>
      <c r="EQ80" s="393"/>
      <c r="ER80" s="393"/>
      <c r="ES80" s="393"/>
      <c r="ET80" s="393"/>
      <c r="EU80" s="393"/>
      <c r="EV80" s="393"/>
      <c r="EW80" s="393"/>
      <c r="EX80" s="393"/>
      <c r="EY80" s="570"/>
      <c r="EZ80" s="570"/>
      <c r="FA80" s="324"/>
      <c r="FB80" s="393"/>
      <c r="FC80" s="393"/>
      <c r="FD80" s="393"/>
      <c r="FE80" s="393"/>
      <c r="FF80" s="324"/>
      <c r="FG80" s="324"/>
      <c r="FH80" s="324"/>
      <c r="FI80" s="324"/>
      <c r="FJ80" s="324"/>
      <c r="FK80" s="324"/>
      <c r="FL80" s="324"/>
      <c r="FM80" s="324"/>
      <c r="FN80" s="324"/>
      <c r="FO80" s="324"/>
      <c r="FP80" s="324"/>
      <c r="FQ80" s="579"/>
      <c r="FR80" s="579"/>
      <c r="FS80" s="579"/>
      <c r="FT80" s="579"/>
      <c r="FU80" s="579"/>
      <c r="FV80" s="579"/>
      <c r="FW80" s="579"/>
      <c r="FX80" s="579"/>
      <c r="FY80" s="324"/>
      <c r="FZ80" s="579"/>
      <c r="GA80" s="579"/>
      <c r="GB80" s="579"/>
      <c r="GC80" s="579"/>
      <c r="GD80" s="324"/>
      <c r="GE80" s="324"/>
      <c r="GF80" s="324"/>
      <c r="GG80" s="324"/>
      <c r="GH80" s="324"/>
      <c r="GI80" s="324"/>
      <c r="GJ80" s="71"/>
      <c r="GK80" s="71"/>
      <c r="GL80" s="324"/>
      <c r="GM80" s="324"/>
      <c r="GN80" s="324"/>
      <c r="GO80" s="324"/>
      <c r="GP80" s="324"/>
      <c r="GQ80" s="324"/>
      <c r="GR80" s="324"/>
      <c r="GS80" s="324"/>
      <c r="GT80" s="324"/>
      <c r="GU80" s="324"/>
      <c r="GV80" s="324"/>
      <c r="GW80" s="393"/>
      <c r="GX80" s="393"/>
      <c r="GY80" s="393"/>
      <c r="GZ80" s="393"/>
      <c r="HA80" s="324"/>
      <c r="HB80" s="324"/>
      <c r="HC80" s="324"/>
      <c r="HD80" s="324"/>
      <c r="HE80" s="324"/>
      <c r="HF80" s="324"/>
      <c r="HG80" s="393"/>
      <c r="HH80" s="393"/>
      <c r="HI80" s="393"/>
      <c r="HJ80" s="393"/>
      <c r="HK80" s="393"/>
      <c r="HL80" s="393"/>
      <c r="HM80" s="324"/>
      <c r="HN80" s="324"/>
    </row>
    <row r="81" spans="23:222" ht="15">
      <c r="W81" s="570"/>
      <c r="X81" s="64"/>
      <c r="Y81" s="64"/>
      <c r="Z81" s="570"/>
      <c r="AA81" s="736"/>
      <c r="AB81" s="736"/>
      <c r="AC81" s="736"/>
      <c r="AD81" s="736"/>
      <c r="AE81" s="255"/>
      <c r="AF81" s="255"/>
      <c r="AG81" s="255"/>
      <c r="AH81" s="255"/>
      <c r="AI81" s="391"/>
      <c r="AJ81" s="391"/>
      <c r="AK81" s="570"/>
      <c r="AL81" s="568"/>
      <c r="AM81" s="391"/>
      <c r="AO81" s="1077" t="s">
        <v>516</v>
      </c>
      <c r="AP81" s="1074">
        <v>1</v>
      </c>
      <c r="AQ81" s="1074">
        <v>2</v>
      </c>
      <c r="AR81" s="1074">
        <v>3</v>
      </c>
      <c r="AS81" s="391"/>
      <c r="AT81" s="391"/>
      <c r="AU81" s="391"/>
      <c r="AV81" s="391"/>
      <c r="AW81" s="391"/>
      <c r="AX81" s="391"/>
      <c r="AY81" s="391"/>
      <c r="AZ81" s="391"/>
      <c r="BA81" s="391"/>
      <c r="BB81" s="391"/>
      <c r="BC81" s="391"/>
      <c r="BD81" s="391"/>
      <c r="BE81" s="391"/>
      <c r="BF81" s="391"/>
      <c r="BG81" s="391"/>
      <c r="BH81" s="391"/>
      <c r="BI81" s="391"/>
      <c r="BJ81" s="391"/>
      <c r="BK81" s="391"/>
      <c r="BL81" s="568"/>
      <c r="BM81" s="44" t="e">
        <f t="shared" si="172"/>
        <v>#NUM!</v>
      </c>
      <c r="BN81" s="44" t="e">
        <f t="shared" si="172"/>
        <v>#NUM!</v>
      </c>
      <c r="BO81" s="44" t="e">
        <f t="shared" si="172"/>
        <v>#NUM!</v>
      </c>
      <c r="BP81" s="44" t="e">
        <f t="shared" si="172"/>
        <v>#NUM!</v>
      </c>
      <c r="BQ81" s="313">
        <f t="shared" si="140"/>
        <v>0</v>
      </c>
      <c r="BR81" s="567">
        <f t="shared" si="141"/>
        <v>0</v>
      </c>
      <c r="BS81" s="567">
        <f t="shared" si="142"/>
        <v>0</v>
      </c>
      <c r="BT81" s="842" t="e">
        <f t="shared" si="170"/>
        <v>#NUM!</v>
      </c>
      <c r="BU81" s="842" t="e">
        <f t="shared" si="170"/>
        <v>#NUM!</v>
      </c>
      <c r="BV81" s="842" t="e">
        <f t="shared" si="170"/>
        <v>#NUM!</v>
      </c>
      <c r="BW81" s="842" t="e">
        <f t="shared" si="170"/>
        <v>#NUM!</v>
      </c>
      <c r="BX81" s="570"/>
      <c r="BY81" s="1072">
        <f t="shared" si="148"/>
      </c>
      <c r="BZ81" s="393"/>
      <c r="CA81" s="842">
        <f t="shared" si="158"/>
      </c>
      <c r="CB81" s="842">
        <f t="shared" si="159"/>
      </c>
      <c r="CC81" s="842">
        <f t="shared" si="160"/>
      </c>
      <c r="CD81" s="842">
        <f t="shared" si="161"/>
      </c>
      <c r="CE81" s="919"/>
      <c r="CF81" s="1033">
        <f t="shared" si="149"/>
      </c>
      <c r="CG81" s="1033">
        <f t="shared" si="150"/>
      </c>
      <c r="CH81" s="1033">
        <f t="shared" si="151"/>
      </c>
      <c r="CI81" s="1033">
        <f t="shared" si="152"/>
      </c>
      <c r="CJ81" s="393"/>
      <c r="CK81" s="919"/>
      <c r="CL81" s="393"/>
      <c r="CM81" s="684"/>
      <c r="CN81" s="672"/>
      <c r="CO81" s="261" t="str">
        <f t="shared" si="143"/>
        <v>PL</v>
      </c>
      <c r="CP81" s="262">
        <f t="shared" si="144"/>
      </c>
      <c r="CQ81" s="263"/>
      <c r="CR81" s="264"/>
      <c r="CS81" s="346">
        <f t="shared" si="171"/>
      </c>
      <c r="CT81" s="347">
        <f t="shared" si="171"/>
      </c>
      <c r="CU81" s="347">
        <f t="shared" si="171"/>
      </c>
      <c r="CV81" s="347">
        <f t="shared" si="171"/>
      </c>
      <c r="CW81" s="565">
        <f t="shared" si="167"/>
        <v>0</v>
      </c>
      <c r="CX81" s="420">
        <f t="shared" si="154"/>
        <v>0</v>
      </c>
      <c r="CY81" s="494">
        <f t="shared" si="155"/>
      </c>
      <c r="CZ81" s="39"/>
      <c r="DA81" s="801"/>
      <c r="DB81" s="801"/>
      <c r="DC81" s="801"/>
      <c r="DD81" s="801"/>
      <c r="DE81" s="71">
        <f t="shared" si="156"/>
        <v>0</v>
      </c>
      <c r="DF81" s="71" t="str">
        <f t="shared" si="157"/>
        <v>0</v>
      </c>
      <c r="DG81" s="393"/>
      <c r="DH81" s="393"/>
      <c r="DI81" s="919"/>
      <c r="DJ81" s="393"/>
      <c r="DK81" s="393"/>
      <c r="DL81" s="393"/>
      <c r="DM81" s="393"/>
      <c r="DN81" s="393"/>
      <c r="DO81" s="919"/>
      <c r="DP81" s="393"/>
      <c r="DQ81" s="393"/>
      <c r="DR81" s="393"/>
      <c r="DS81" s="393"/>
      <c r="DT81" s="393"/>
      <c r="DU81" s="919"/>
      <c r="DV81" s="393"/>
      <c r="DW81" s="393"/>
      <c r="DX81" s="393"/>
      <c r="DY81" s="393"/>
      <c r="DZ81" s="393"/>
      <c r="EA81" s="919"/>
      <c r="EB81" s="393"/>
      <c r="EC81" s="393"/>
      <c r="ED81" s="393"/>
      <c r="EE81" s="393"/>
      <c r="EF81" s="393"/>
      <c r="EG81" s="919"/>
      <c r="EH81" s="393"/>
      <c r="EI81" s="393"/>
      <c r="EJ81" s="393"/>
      <c r="EK81" s="393"/>
      <c r="EL81" s="393"/>
      <c r="EM81" s="393"/>
      <c r="EN81" s="919"/>
      <c r="EO81" s="393"/>
      <c r="EP81" s="393"/>
      <c r="EQ81" s="393"/>
      <c r="ER81" s="393"/>
      <c r="ES81" s="393"/>
      <c r="ET81" s="393"/>
      <c r="EU81" s="393"/>
      <c r="EV81" s="393"/>
      <c r="EW81" s="393"/>
      <c r="EX81" s="393"/>
      <c r="EY81" s="570"/>
      <c r="EZ81" s="570"/>
      <c r="FA81" s="324"/>
      <c r="FB81" s="393"/>
      <c r="FC81" s="393"/>
      <c r="FD81" s="393"/>
      <c r="FE81" s="393"/>
      <c r="FF81" s="324"/>
      <c r="FG81" s="324"/>
      <c r="FH81" s="324"/>
      <c r="FI81" s="324"/>
      <c r="FJ81" s="324"/>
      <c r="FK81" s="324"/>
      <c r="FL81" s="324"/>
      <c r="FM81" s="324"/>
      <c r="FN81" s="324"/>
      <c r="FO81" s="324"/>
      <c r="FP81" s="324"/>
      <c r="FQ81" s="579"/>
      <c r="FR81" s="579"/>
      <c r="FS81" s="579"/>
      <c r="FT81" s="579"/>
      <c r="FU81" s="579"/>
      <c r="FV81" s="579"/>
      <c r="FW81" s="579"/>
      <c r="FX81" s="579"/>
      <c r="FY81" s="324"/>
      <c r="FZ81" s="579"/>
      <c r="GA81" s="579"/>
      <c r="GB81" s="579"/>
      <c r="GC81" s="579"/>
      <c r="GD81" s="324"/>
      <c r="GE81" s="324"/>
      <c r="GF81" s="324"/>
      <c r="GG81" s="324"/>
      <c r="GH81" s="324"/>
      <c r="GI81" s="324"/>
      <c r="GJ81" s="71"/>
      <c r="GK81" s="71"/>
      <c r="GL81" s="324"/>
      <c r="GM81" s="324"/>
      <c r="GN81" s="324"/>
      <c r="GO81" s="324"/>
      <c r="GP81" s="324"/>
      <c r="GQ81" s="324"/>
      <c r="GR81" s="324"/>
      <c r="GS81" s="324"/>
      <c r="GT81" s="324"/>
      <c r="GU81" s="324"/>
      <c r="GV81" s="324"/>
      <c r="GW81" s="393"/>
      <c r="GX81" s="393"/>
      <c r="GY81" s="393"/>
      <c r="GZ81" s="393"/>
      <c r="HA81" s="324"/>
      <c r="HB81" s="324"/>
      <c r="HC81" s="324"/>
      <c r="HD81" s="324"/>
      <c r="HE81" s="324"/>
      <c r="HF81" s="324"/>
      <c r="HG81" s="393"/>
      <c r="HH81" s="393"/>
      <c r="HI81" s="393"/>
      <c r="HJ81" s="393"/>
      <c r="HK81" s="393"/>
      <c r="HL81" s="393"/>
      <c r="HM81" s="324"/>
      <c r="HN81" s="324"/>
    </row>
    <row r="82" spans="23:222" ht="15.75" thickBot="1">
      <c r="W82" s="570"/>
      <c r="X82" s="64"/>
      <c r="Y82" s="64"/>
      <c r="Z82" s="570"/>
      <c r="AA82" s="736"/>
      <c r="AB82" s="736"/>
      <c r="AC82" s="736"/>
      <c r="AD82" s="736"/>
      <c r="AE82" s="255"/>
      <c r="AF82" s="255"/>
      <c r="AG82" s="255"/>
      <c r="AH82" s="255"/>
      <c r="AI82" s="391"/>
      <c r="AJ82" s="391"/>
      <c r="AK82" s="570"/>
      <c r="AL82" s="568"/>
      <c r="AM82" s="391" t="s">
        <v>392</v>
      </c>
      <c r="AN82" s="568"/>
      <c r="AO82" s="391"/>
      <c r="AP82" s="391">
        <f>IF(AL78="","",IF(AND(AR76&lt;AT76-AT78,AT76&gt;CU56,CW54&lt;40),AT76-AT78-AR76,0))</f>
      </c>
      <c r="AQ82" s="585">
        <f>IF(AL78="","",IF(AND(AR76&lt;AT76+AU76-AT78-AU78,AU76&gt;CU56,CW54&lt;39),AT76+AU76-AT78-AU78-AR76,0))</f>
      </c>
      <c r="AR82" s="585">
        <f>IF(AL78="","",IF(AND(AR76&lt;AT76+AU76+AV76-AT78-AU78-AV78,AV76&gt;CU56,CW54&lt;38),AT76+AU76+AV76-AT78-AU78-AV78-AR76,0))</f>
      </c>
      <c r="AS82" s="391"/>
      <c r="AT82" s="1076" t="e">
        <f ca="1">IF(OR(AP82="",INDIRECT("E"&amp;AN76)&lt;&gt;""),"-",IF(AND(AP82=LARGE($AP$82:$AR$82,1),AP82&gt;0),"g","-"))</f>
        <v>#VALUE!</v>
      </c>
      <c r="AU82" s="1076" t="e">
        <f ca="1">IF(OR(AQ82="",INDIRECT("E"&amp;AN76)&lt;&gt;""),"-",IF(AND(AQ82=LARGE($AP$82:$AR$82,1),AQ82&gt;0),"g","-"))</f>
        <v>#VALUE!</v>
      </c>
      <c r="AV82" s="1076" t="e">
        <f ca="1">IF(OR(AR82="",INDIRECT("E"&amp;AN76)&lt;&gt;""),"-",IF(AND(AR82=LARGE($AP$82:$AR$82,1),AR82&gt;0),"g","-"))</f>
        <v>#VALUE!</v>
      </c>
      <c r="AW82" s="585"/>
      <c r="AX82" s="391"/>
      <c r="AY82" s="391"/>
      <c r="AZ82" s="391"/>
      <c r="BA82" s="391"/>
      <c r="BB82" s="391"/>
      <c r="BC82" s="391"/>
      <c r="BD82" s="391"/>
      <c r="BE82" s="391"/>
      <c r="BF82" s="391"/>
      <c r="BG82" s="391"/>
      <c r="BH82" s="391"/>
      <c r="BI82" s="568"/>
      <c r="BJ82" s="391" t="s">
        <v>385</v>
      </c>
      <c r="BK82" s="391"/>
      <c r="BL82" s="568"/>
      <c r="BM82" s="44" t="str">
        <f>BM32</f>
        <v>H</v>
      </c>
      <c r="BN82" s="44" t="str">
        <f>BN32</f>
        <v>I</v>
      </c>
      <c r="BO82" s="44" t="str">
        <f>BO32</f>
        <v>J</v>
      </c>
      <c r="BP82" s="44" t="str">
        <f>BP32</f>
        <v>K</v>
      </c>
      <c r="BQ82" s="313">
        <f t="shared" si="140"/>
        <v>0</v>
      </c>
      <c r="BR82" s="567">
        <f t="shared" si="141"/>
        <v>0</v>
      </c>
      <c r="BS82" s="567">
        <f t="shared" si="142"/>
        <v>0</v>
      </c>
      <c r="BT82" s="842">
        <f>IF(BM82="",H31,"")</f>
      </c>
      <c r="BU82" s="842">
        <f>IF(BN82="",I31,"")</f>
      </c>
      <c r="BV82" s="842">
        <f>IF(BO82="",J31,"")</f>
      </c>
      <c r="BW82" s="842">
        <f>IF(BP82="",K31,"")</f>
      </c>
      <c r="BX82" s="570"/>
      <c r="BY82" s="1072">
        <f t="shared" si="148"/>
      </c>
      <c r="BZ82" s="393"/>
      <c r="CA82" s="842">
        <f t="shared" si="158"/>
      </c>
      <c r="CB82" s="842">
        <f t="shared" si="159"/>
      </c>
      <c r="CC82" s="842">
        <f t="shared" si="160"/>
      </c>
      <c r="CD82" s="842">
        <f t="shared" si="161"/>
      </c>
      <c r="CE82" s="919"/>
      <c r="CF82" s="1033">
        <f t="shared" si="149"/>
      </c>
      <c r="CG82" s="1033">
        <f t="shared" si="150"/>
      </c>
      <c r="CH82" s="1033">
        <f t="shared" si="151"/>
      </c>
      <c r="CI82" s="1033">
        <f t="shared" si="152"/>
      </c>
      <c r="CJ82" s="393"/>
      <c r="CK82" s="919"/>
      <c r="CL82" s="393"/>
      <c r="CM82" s="684"/>
      <c r="CN82" s="672"/>
      <c r="CO82" s="1059" t="str">
        <f t="shared" si="143"/>
        <v>SP</v>
      </c>
      <c r="CP82" s="260">
        <f t="shared" si="144"/>
      </c>
      <c r="CQ82" s="500"/>
      <c r="CR82" s="501"/>
      <c r="CS82" s="345">
        <f t="shared" si="171"/>
      </c>
      <c r="CT82" s="345">
        <f t="shared" si="171"/>
      </c>
      <c r="CU82" s="345">
        <f t="shared" si="171"/>
      </c>
      <c r="CV82" s="345">
        <f t="shared" si="171"/>
      </c>
      <c r="CW82" s="257">
        <f t="shared" si="167"/>
        <v>0</v>
      </c>
      <c r="CX82" s="69">
        <f t="shared" si="154"/>
        <v>0</v>
      </c>
      <c r="CY82" s="70">
        <f t="shared" si="155"/>
      </c>
      <c r="CZ82" s="39"/>
      <c r="DA82" s="801"/>
      <c r="DB82" s="801"/>
      <c r="DC82" s="801"/>
      <c r="DD82" s="801"/>
      <c r="DE82" s="71">
        <f t="shared" si="156"/>
        <v>0</v>
      </c>
      <c r="DF82" s="71" t="str">
        <f t="shared" si="157"/>
        <v>0</v>
      </c>
      <c r="DG82" s="393"/>
      <c r="DH82" s="393"/>
      <c r="DI82" s="919"/>
      <c r="DJ82" s="393"/>
      <c r="DK82" s="393"/>
      <c r="DL82" s="393"/>
      <c r="DM82" s="393"/>
      <c r="DN82" s="393"/>
      <c r="DO82" s="919"/>
      <c r="DP82" s="393"/>
      <c r="DQ82" s="393"/>
      <c r="DR82" s="393"/>
      <c r="DS82" s="393"/>
      <c r="DT82" s="393"/>
      <c r="DU82" s="919"/>
      <c r="DV82" s="393"/>
      <c r="DW82" s="393"/>
      <c r="DX82" s="393"/>
      <c r="DY82" s="393"/>
      <c r="DZ82" s="393"/>
      <c r="EA82" s="919"/>
      <c r="EB82" s="393"/>
      <c r="EC82" s="393"/>
      <c r="ED82" s="393"/>
      <c r="EE82" s="393"/>
      <c r="EF82" s="393"/>
      <c r="EG82" s="919"/>
      <c r="EH82" s="393"/>
      <c r="EI82" s="393"/>
      <c r="EJ82" s="393"/>
      <c r="EK82" s="393"/>
      <c r="EL82" s="393"/>
      <c r="EM82" s="393"/>
      <c r="EN82" s="919"/>
      <c r="EO82" s="393"/>
      <c r="EP82" s="393"/>
      <c r="EQ82" s="393"/>
      <c r="ER82" s="393"/>
      <c r="ES82" s="393"/>
      <c r="ET82" s="393"/>
      <c r="EU82" s="393"/>
      <c r="EV82" s="393"/>
      <c r="EW82" s="393"/>
      <c r="EX82" s="393"/>
      <c r="EY82" s="570"/>
      <c r="EZ82" s="570"/>
      <c r="FA82" s="324"/>
      <c r="FB82" s="393"/>
      <c r="FC82" s="393"/>
      <c r="FD82" s="393"/>
      <c r="FE82" s="393"/>
      <c r="FF82" s="324"/>
      <c r="FG82" s="324"/>
      <c r="FH82" s="324"/>
      <c r="FI82" s="324"/>
      <c r="FJ82" s="324"/>
      <c r="FK82" s="324"/>
      <c r="FL82" s="324"/>
      <c r="FM82" s="324"/>
      <c r="FN82" s="324"/>
      <c r="FO82" s="324"/>
      <c r="FP82" s="324"/>
      <c r="FQ82" s="579"/>
      <c r="FR82" s="579"/>
      <c r="FS82" s="579"/>
      <c r="FT82" s="579"/>
      <c r="FU82" s="579"/>
      <c r="FV82" s="579"/>
      <c r="FW82" s="579"/>
      <c r="FX82" s="579"/>
      <c r="FY82" s="324"/>
      <c r="FZ82" s="579"/>
      <c r="GA82" s="579"/>
      <c r="GB82" s="579"/>
      <c r="GC82" s="579"/>
      <c r="GD82" s="324"/>
      <c r="GE82" s="324"/>
      <c r="GF82" s="324"/>
      <c r="GG82" s="324"/>
      <c r="GH82" s="324"/>
      <c r="GI82" s="324"/>
      <c r="GJ82" s="71"/>
      <c r="GK82" s="71"/>
      <c r="GL82" s="324"/>
      <c r="GM82" s="324"/>
      <c r="GN82" s="324"/>
      <c r="GO82" s="324"/>
      <c r="GP82" s="324"/>
      <c r="GQ82" s="324"/>
      <c r="GR82" s="324"/>
      <c r="GS82" s="324"/>
      <c r="GT82" s="324"/>
      <c r="GU82" s="324"/>
      <c r="GV82" s="324"/>
      <c r="GW82" s="393"/>
      <c r="GX82" s="393"/>
      <c r="GY82" s="393"/>
      <c r="GZ82" s="393"/>
      <c r="HA82" s="324"/>
      <c r="HB82" s="324"/>
      <c r="HC82" s="324"/>
      <c r="HD82" s="324"/>
      <c r="HE82" s="324"/>
      <c r="HF82" s="324"/>
      <c r="HG82" s="393"/>
      <c r="HH82" s="393"/>
      <c r="HI82" s="393"/>
      <c r="HJ82" s="393"/>
      <c r="HK82" s="393"/>
      <c r="HL82" s="393"/>
      <c r="HM82" s="324"/>
      <c r="HN82" s="324"/>
    </row>
    <row r="83" spans="23:222" ht="15">
      <c r="W83" s="570"/>
      <c r="X83" s="64"/>
      <c r="Y83" s="64"/>
      <c r="Z83" s="570"/>
      <c r="AA83" s="736"/>
      <c r="AB83" s="736"/>
      <c r="AC83" s="736"/>
      <c r="AD83" s="736"/>
      <c r="AE83" s="255"/>
      <c r="AF83" s="255"/>
      <c r="AG83" s="255"/>
      <c r="AH83" s="255"/>
      <c r="AI83" s="391"/>
      <c r="AJ83" s="391"/>
      <c r="AK83" s="570"/>
      <c r="AL83" s="568"/>
      <c r="AM83" s="391" t="s">
        <v>393</v>
      </c>
      <c r="AN83" s="1075"/>
      <c r="AO83" s="585"/>
      <c r="AP83" s="585">
        <f>IF(AL78="","",IF(AR77&lt;AZ77-AZ78,AZ77-AZ78-AR77,0))</f>
      </c>
      <c r="AQ83" s="391"/>
      <c r="AR83" s="585"/>
      <c r="AS83" s="391"/>
      <c r="AT83" s="391"/>
      <c r="AU83" s="391"/>
      <c r="AV83" s="391"/>
      <c r="AW83" s="391"/>
      <c r="AX83" s="391"/>
      <c r="AY83" s="391"/>
      <c r="AZ83" s="391"/>
      <c r="BA83" s="391"/>
      <c r="BB83" s="391"/>
      <c r="BC83" s="391"/>
      <c r="BD83" s="391"/>
      <c r="BE83" s="391"/>
      <c r="BF83" s="391"/>
      <c r="BG83" s="391"/>
      <c r="BH83" s="391"/>
      <c r="BI83" s="391"/>
      <c r="BJ83" s="391"/>
      <c r="BK83" s="391"/>
      <c r="BM83" s="391"/>
      <c r="BN83" s="391"/>
      <c r="BO83" s="391"/>
      <c r="BP83" s="391"/>
      <c r="BQ83" s="1449" t="s">
        <v>343</v>
      </c>
      <c r="BR83" s="1452"/>
      <c r="BS83" s="1455"/>
      <c r="BT83" s="1445">
        <f>H32</f>
      </c>
      <c r="BU83" s="1445">
        <f>I32</f>
      </c>
      <c r="BV83" s="1445">
        <f>J32</f>
      </c>
      <c r="BW83" s="1445">
        <f>K32</f>
      </c>
      <c r="BX83" s="570"/>
      <c r="BY83" s="1072"/>
      <c r="BZ83" s="393"/>
      <c r="CA83" s="1508">
        <f>IF(ISNA(MATCH(ADDRESS(ROW(BT83),COLUMN(BT83),4),$BX$38:$BX$49,0))=TRUE,"",IF(AND(VLOOKUP("PJK",$CH$38:$CK$49,3,FALSE)=35,$BY$34&lt;&gt;""),"",IF(MATCH(ADDRESS(ROW(BT83),COLUMN(BT83),4),$BX$38:$BX$49,0)&gt;MAX($BV$38:$BV$49),"",BT83)))</f>
      </c>
      <c r="CB83" s="1508">
        <f>IF(ISNA(MATCH(ADDRESS(ROW(BU83),COLUMN(BU83),4),$BX$38:$BX$49,0))=TRUE,"",IF(AND(VLOOKUP("PJK",$CH$38:$CK$49,3,FALSE)=35,$BY$34&lt;&gt;""),"",IF(MATCH(ADDRESS(ROW(BU83),COLUMN(BU83),4),$BX$38:$BX$49,0)&gt;MAX($BV$38:$BV$49),"",BU83)))</f>
      </c>
      <c r="CC83" s="1508">
        <f>IF(ISNA(MATCH(ADDRESS(ROW(BV83),COLUMN(BV83),4),$BX$38:$BX$49,0))=TRUE,"",IF(AND(VLOOKUP("PJK",$CH$38:$CK$49,3,FALSE)=35,$BY$34&lt;&gt;""),"",IF(MATCH(ADDRESS(ROW(BV83),COLUMN(BV83),4),$BX$38:$BX$49,0)&gt;MAX($BV$38:$BV$49),"",BV83)))</f>
      </c>
      <c r="CD83" s="1508">
        <f>IF(ISNA(MATCH(ADDRESS(ROW(BW83),COLUMN(BW83),4),$BX$38:$BX$49,0))=TRUE,"",IF(AND(VLOOKUP("PJK",$CH$38:$CK$49,3,FALSE)=35,$BY$34&lt;&gt;""),"",IF(MATCH(ADDRESS(ROW(BW83),COLUMN(BW83),4),$BX$38:$BX$49,0)&gt;MAX($BV$38:$BV$49),"",BW83)))</f>
      </c>
      <c r="CE83" s="255"/>
      <c r="CF83" s="1508">
        <f>CA83</f>
      </c>
      <c r="CG83" s="1508">
        <f>CB83</f>
      </c>
      <c r="CH83" s="1508">
        <f>CC83</f>
      </c>
      <c r="CI83" s="1508">
        <f>CD83</f>
      </c>
      <c r="CJ83" s="393"/>
      <c r="CK83" s="393"/>
      <c r="CL83" s="393"/>
      <c r="CM83" s="1464" t="s">
        <v>430</v>
      </c>
      <c r="CN83" s="1465"/>
      <c r="CO83" s="1498">
        <f>IF(D32="","",D32)</f>
      </c>
      <c r="CP83" s="1500"/>
      <c r="CQ83" s="1485"/>
      <c r="CR83" s="1495"/>
      <c r="CS83" s="1468">
        <f>IF(H32="","",IF(COUNT(CT83)=1,BT83,IF(CF83&lt;&gt;"",CF83,"("&amp;H32&amp;")")))</f>
      </c>
      <c r="CT83" s="1468">
        <f>IF(I32="","",IF(COUNT(CU83)=1,BU83,IF(CG83&lt;&gt;"",CG83,"("&amp;I32&amp;")")))</f>
      </c>
      <c r="CU83" s="1468">
        <f>IF(J32="","",IF(COUNT(CV)=1,BV83,IF(CH83&lt;&gt;"",CH83,"("&amp;J32&amp;")")))</f>
      </c>
      <c r="CV83" s="1468">
        <f>IF(K32="","",IF(CI83&lt;&gt;"",CI83,"("&amp;K32&amp;")"))</f>
      </c>
      <c r="CW83" s="1506">
        <f>IF(CO83="","",COUNT(H83:K85))</f>
      </c>
      <c r="CX83" s="1488">
        <f>IF(CO83="","",SUM(CS83:CV83))</f>
      </c>
      <c r="CY83" s="1296"/>
      <c r="CZ83" s="85"/>
      <c r="DA83" s="801"/>
      <c r="DB83" s="801"/>
      <c r="DC83" s="801"/>
      <c r="DD83" s="801"/>
      <c r="DE83" s="71">
        <f t="shared" si="156"/>
        <v>0</v>
      </c>
      <c r="DF83" s="71" t="str">
        <f t="shared" si="157"/>
        <v>0</v>
      </c>
      <c r="DG83" s="393"/>
      <c r="DH83" s="393"/>
      <c r="DI83" s="393"/>
      <c r="DJ83" s="393"/>
      <c r="DK83" s="393"/>
      <c r="DL83" s="393"/>
      <c r="DM83" s="393"/>
      <c r="DN83" s="393"/>
      <c r="DO83" s="393"/>
      <c r="DP83" s="393"/>
      <c r="DQ83" s="393"/>
      <c r="DR83" s="393"/>
      <c r="DS83" s="393"/>
      <c r="DT83" s="393"/>
      <c r="DU83" s="393"/>
      <c r="DV83" s="393"/>
      <c r="DW83" s="393"/>
      <c r="DX83" s="393"/>
      <c r="DY83" s="393"/>
      <c r="DZ83" s="393"/>
      <c r="EA83" s="393"/>
      <c r="EB83" s="393"/>
      <c r="EC83" s="393"/>
      <c r="ED83" s="393"/>
      <c r="EE83" s="393"/>
      <c r="EF83" s="393"/>
      <c r="EG83" s="393"/>
      <c r="EH83" s="393"/>
      <c r="EI83" s="393"/>
      <c r="EJ83" s="393"/>
      <c r="EK83" s="393"/>
      <c r="EL83" s="393"/>
      <c r="EM83" s="393"/>
      <c r="EN83" s="393"/>
      <c r="EO83" s="393"/>
      <c r="EP83" s="393"/>
      <c r="EQ83" s="393"/>
      <c r="ER83" s="393"/>
      <c r="ES83" s="393"/>
      <c r="ET83" s="393"/>
      <c r="EU83" s="255"/>
      <c r="EV83" s="255"/>
      <c r="EW83" s="255"/>
      <c r="EX83" s="255"/>
      <c r="EY83" s="570"/>
      <c r="EZ83" s="570"/>
      <c r="FA83" s="324"/>
      <c r="FB83" s="393"/>
      <c r="FC83" s="393"/>
      <c r="FD83" s="393"/>
      <c r="FE83" s="393"/>
      <c r="FF83" s="324"/>
      <c r="FG83" s="324"/>
      <c r="FH83" s="324"/>
      <c r="FI83" s="324"/>
      <c r="FJ83" s="324"/>
      <c r="FK83" s="324"/>
      <c r="FL83" s="324"/>
      <c r="FM83" s="324"/>
      <c r="FN83" s="324"/>
      <c r="FO83" s="324"/>
      <c r="FP83" s="324"/>
      <c r="FQ83" s="579"/>
      <c r="FR83" s="579"/>
      <c r="FS83" s="579"/>
      <c r="FT83" s="579"/>
      <c r="FU83" s="579"/>
      <c r="FV83" s="579"/>
      <c r="FW83" s="579"/>
      <c r="FX83" s="579"/>
      <c r="FY83" s="324"/>
      <c r="FZ83" s="579"/>
      <c r="GA83" s="579"/>
      <c r="GB83" s="579"/>
      <c r="GC83" s="579"/>
      <c r="GD83" s="324"/>
      <c r="GE83" s="324"/>
      <c r="GF83" s="324"/>
      <c r="GG83" s="324"/>
      <c r="GH83" s="324"/>
      <c r="GI83" s="324"/>
      <c r="GJ83" s="71"/>
      <c r="GK83" s="71"/>
      <c r="GL83" s="324"/>
      <c r="GM83" s="324"/>
      <c r="GN83" s="324"/>
      <c r="GO83" s="324"/>
      <c r="GP83" s="324"/>
      <c r="GQ83" s="324"/>
      <c r="GR83" s="324"/>
      <c r="GS83" s="324"/>
      <c r="GT83" s="324"/>
      <c r="GU83" s="324"/>
      <c r="GV83" s="324"/>
      <c r="GW83" s="393"/>
      <c r="GX83" s="393"/>
      <c r="GY83" s="393"/>
      <c r="GZ83" s="393"/>
      <c r="HA83" s="324"/>
      <c r="HB83" s="324"/>
      <c r="HC83" s="324"/>
      <c r="HD83" s="324"/>
      <c r="HE83" s="324"/>
      <c r="HF83" s="324"/>
      <c r="HG83" s="393"/>
      <c r="HH83" s="393"/>
      <c r="HI83" s="393"/>
      <c r="HJ83" s="393"/>
      <c r="HK83" s="393"/>
      <c r="HL83" s="393"/>
      <c r="HM83" s="324"/>
      <c r="HN83" s="324"/>
    </row>
    <row r="84" spans="23:222" ht="15">
      <c r="W84" s="64"/>
      <c r="X84" s="255"/>
      <c r="Y84" s="64"/>
      <c r="Z84" s="570"/>
      <c r="AA84" s="570"/>
      <c r="AB84" s="570"/>
      <c r="AC84" s="255"/>
      <c r="AD84" s="255"/>
      <c r="AE84" s="255"/>
      <c r="AF84" s="255"/>
      <c r="AG84" s="255"/>
      <c r="AH84" s="255"/>
      <c r="AI84" s="391"/>
      <c r="AJ84" s="391"/>
      <c r="AK84" s="570"/>
      <c r="AL84" s="568"/>
      <c r="AM84" s="391"/>
      <c r="AN84" s="391"/>
      <c r="AO84" s="391"/>
      <c r="AP84" s="391"/>
      <c r="AQ84" s="391"/>
      <c r="AR84" s="585"/>
      <c r="AS84" s="391"/>
      <c r="AT84" s="391"/>
      <c r="AU84" s="391"/>
      <c r="AV84" s="391"/>
      <c r="AW84" s="391"/>
      <c r="AX84" s="391"/>
      <c r="AY84" s="391"/>
      <c r="AZ84" s="391"/>
      <c r="BA84" s="391"/>
      <c r="BB84" s="391"/>
      <c r="BC84" s="391"/>
      <c r="BD84" s="391"/>
      <c r="BE84" s="391"/>
      <c r="BF84" s="391"/>
      <c r="BG84" s="391"/>
      <c r="BH84" s="391"/>
      <c r="BI84" s="391"/>
      <c r="BJ84" s="391"/>
      <c r="BK84" s="391"/>
      <c r="BM84" s="391"/>
      <c r="BN84" s="391"/>
      <c r="BO84" s="391"/>
      <c r="BP84" s="391"/>
      <c r="BQ84" s="1450"/>
      <c r="BR84" s="1453"/>
      <c r="BS84" s="1456"/>
      <c r="BT84" s="1446"/>
      <c r="BU84" s="1446"/>
      <c r="BV84" s="1446"/>
      <c r="BW84" s="1446"/>
      <c r="BX84" s="391">
        <f>SUM(BT83:BV85)/2</f>
        <v>0</v>
      </c>
      <c r="BY84" s="1072">
        <f>IF(ISNA(MATCH("x",BY62:BY82,0))=TRUE,"",MATCH("x",BY62:BY82,0)+61)</f>
      </c>
      <c r="BZ84" s="393"/>
      <c r="CA84" s="1446">
        <f aca="true" t="shared" si="173" ref="CA84:CD85">IF(ISNA(MATCH(ADDRESS(ROW(A84),COLUMN(A84)),$BX$38:$BX$49,0))=TRUE,"",IF(MATCH(ADDRESS(ROW(A84),COLUMN(A84)),$BX$38:$BX$49,0)&gt;MAX($BV$38:$BV$49),"",A84))</f>
      </c>
      <c r="CB84" s="1446">
        <f t="shared" si="173"/>
      </c>
      <c r="CC84" s="1446">
        <f t="shared" si="173"/>
      </c>
      <c r="CD84" s="1446">
        <f t="shared" si="173"/>
      </c>
      <c r="CE84" s="255"/>
      <c r="CF84" s="1446"/>
      <c r="CG84" s="1446"/>
      <c r="CH84" s="1446"/>
      <c r="CI84" s="1446"/>
      <c r="CJ84" s="393"/>
      <c r="CK84" s="393"/>
      <c r="CL84" s="393"/>
      <c r="CM84" s="1464"/>
      <c r="CN84" s="1465"/>
      <c r="CO84" s="1498"/>
      <c r="CP84" s="1501"/>
      <c r="CQ84" s="1486"/>
      <c r="CR84" s="1496"/>
      <c r="CS84" s="1469"/>
      <c r="CT84" s="1469"/>
      <c r="CU84" s="1469"/>
      <c r="CV84" s="1469"/>
      <c r="CW84" s="1362"/>
      <c r="CX84" s="1489"/>
      <c r="CY84" s="1297"/>
      <c r="CZ84" s="85"/>
      <c r="DA84" s="801"/>
      <c r="DB84" s="801"/>
      <c r="DC84" s="801"/>
      <c r="DD84" s="801"/>
      <c r="DE84" s="71"/>
      <c r="DF84" s="71"/>
      <c r="DG84" s="393"/>
      <c r="DH84" s="393"/>
      <c r="DI84" s="393"/>
      <c r="DJ84" s="393"/>
      <c r="DK84" s="393"/>
      <c r="DL84" s="393"/>
      <c r="DM84" s="393"/>
      <c r="DN84" s="393"/>
      <c r="DO84" s="393"/>
      <c r="DP84" s="393"/>
      <c r="DQ84" s="393"/>
      <c r="DR84" s="393"/>
      <c r="DS84" s="393"/>
      <c r="DT84" s="393"/>
      <c r="DU84" s="393"/>
      <c r="DV84" s="393"/>
      <c r="DW84" s="393"/>
      <c r="DX84" s="393"/>
      <c r="DY84" s="393"/>
      <c r="DZ84" s="393"/>
      <c r="EA84" s="393"/>
      <c r="EB84" s="393"/>
      <c r="EC84" s="393"/>
      <c r="ED84" s="393"/>
      <c r="EE84" s="393"/>
      <c r="EF84" s="393"/>
      <c r="EG84" s="393"/>
      <c r="EH84" s="393"/>
      <c r="EI84" s="393"/>
      <c r="EJ84" s="393"/>
      <c r="EK84" s="393"/>
      <c r="EL84" s="393"/>
      <c r="EM84" s="393"/>
      <c r="EN84" s="393"/>
      <c r="EO84" s="393"/>
      <c r="EP84" s="393"/>
      <c r="EQ84" s="393"/>
      <c r="ER84" s="393"/>
      <c r="ES84" s="393"/>
      <c r="ET84" s="393"/>
      <c r="EU84" s="255"/>
      <c r="EV84" s="255"/>
      <c r="EW84" s="255"/>
      <c r="EX84" s="255"/>
      <c r="EY84" s="570"/>
      <c r="EZ84" s="570"/>
      <c r="FA84" s="324"/>
      <c r="FB84" s="393"/>
      <c r="FC84" s="393"/>
      <c r="FD84" s="393"/>
      <c r="FE84" s="393"/>
      <c r="FF84" s="324"/>
      <c r="FG84" s="324"/>
      <c r="FH84" s="324"/>
      <c r="FI84" s="324"/>
      <c r="FJ84" s="324"/>
      <c r="FK84" s="324"/>
      <c r="FL84" s="324"/>
      <c r="FM84" s="324"/>
      <c r="FN84" s="324"/>
      <c r="FO84" s="324"/>
      <c r="FP84" s="324"/>
      <c r="FQ84" s="579"/>
      <c r="FR84" s="579"/>
      <c r="FS84" s="579"/>
      <c r="FT84" s="579"/>
      <c r="FU84" s="579"/>
      <c r="FV84" s="579"/>
      <c r="FW84" s="579"/>
      <c r="FX84" s="579"/>
      <c r="FY84" s="324"/>
      <c r="FZ84" s="579"/>
      <c r="GA84" s="579"/>
      <c r="GB84" s="579"/>
      <c r="GC84" s="579"/>
      <c r="GD84" s="324"/>
      <c r="GE84" s="324"/>
      <c r="GF84" s="324"/>
      <c r="GG84" s="324"/>
      <c r="GH84" s="324"/>
      <c r="GI84" s="324"/>
      <c r="GJ84" s="71"/>
      <c r="GK84" s="71"/>
      <c r="GL84" s="324"/>
      <c r="GM84" s="324"/>
      <c r="GN84" s="324"/>
      <c r="GO84" s="324"/>
      <c r="GP84" s="324"/>
      <c r="GQ84" s="324"/>
      <c r="GR84" s="324"/>
      <c r="GS84" s="324"/>
      <c r="GT84" s="324"/>
      <c r="GU84" s="324"/>
      <c r="GV84" s="324"/>
      <c r="GW84" s="393"/>
      <c r="GX84" s="393"/>
      <c r="GY84" s="393"/>
      <c r="GZ84" s="393"/>
      <c r="HA84" s="324"/>
      <c r="HB84" s="324"/>
      <c r="HC84" s="324"/>
      <c r="HD84" s="324"/>
      <c r="HE84" s="324"/>
      <c r="HF84" s="324"/>
      <c r="HG84" s="393"/>
      <c r="HH84" s="393"/>
      <c r="HI84" s="393"/>
      <c r="HJ84" s="393"/>
      <c r="HK84" s="393"/>
      <c r="HL84" s="393"/>
      <c r="HM84" s="324"/>
      <c r="HN84" s="324"/>
    </row>
    <row r="85" spans="23:222" ht="15">
      <c r="W85" s="64"/>
      <c r="X85" s="64"/>
      <c r="Y85" s="64"/>
      <c r="Z85" s="570"/>
      <c r="AA85" s="570"/>
      <c r="AB85" s="570"/>
      <c r="AC85" s="255"/>
      <c r="AD85" s="255"/>
      <c r="AE85" s="255"/>
      <c r="AF85" s="255"/>
      <c r="AG85" s="255"/>
      <c r="AH85" s="255"/>
      <c r="AI85" s="391"/>
      <c r="AJ85" s="391"/>
      <c r="AK85" s="570"/>
      <c r="AL85" s="568"/>
      <c r="AM85" s="391"/>
      <c r="AN85" s="391"/>
      <c r="AO85" s="391"/>
      <c r="AP85" s="391"/>
      <c r="AQ85" s="391"/>
      <c r="AR85" s="585"/>
      <c r="AS85" s="391"/>
      <c r="AT85" s="391"/>
      <c r="AU85" s="391"/>
      <c r="AV85" s="391"/>
      <c r="AW85" s="391"/>
      <c r="AX85" s="391"/>
      <c r="AY85" s="391"/>
      <c r="AZ85" s="391"/>
      <c r="BA85" s="391"/>
      <c r="BB85" s="391"/>
      <c r="BC85" s="391"/>
      <c r="BD85" s="391"/>
      <c r="BE85" s="391"/>
      <c r="BF85" s="391"/>
      <c r="BG85" s="391"/>
      <c r="BH85" s="391"/>
      <c r="BI85" s="391"/>
      <c r="BJ85" s="391"/>
      <c r="BK85" s="391"/>
      <c r="BM85" s="391"/>
      <c r="BN85" s="391"/>
      <c r="BO85" s="391"/>
      <c r="BP85" s="391"/>
      <c r="BQ85" s="1451"/>
      <c r="BR85" s="1454"/>
      <c r="BS85" s="1457"/>
      <c r="BT85" s="1447"/>
      <c r="BU85" s="1447"/>
      <c r="BV85" s="1447"/>
      <c r="BW85" s="1447"/>
      <c r="BX85" s="570"/>
      <c r="BY85" s="1072">
        <f ca="1">IF(BY84="","",ADDRESS(VALUE(BY84),VALUE(MATCH(BX84,INDIRECT("BT"&amp;MATCH("x",BY62:BY82,0)+61&amp;":BW"&amp;MATCH("x",BY62:BY82,0)+61),0))+71,4))</f>
      </c>
      <c r="BZ85" s="393"/>
      <c r="CA85" s="1447">
        <f t="shared" si="173"/>
      </c>
      <c r="CB85" s="1447">
        <f t="shared" si="173"/>
      </c>
      <c r="CC85" s="1447">
        <f t="shared" si="173"/>
      </c>
      <c r="CD85" s="1447">
        <f t="shared" si="173"/>
      </c>
      <c r="CE85" s="255"/>
      <c r="CF85" s="1447"/>
      <c r="CG85" s="1447"/>
      <c r="CH85" s="1447"/>
      <c r="CI85" s="1447"/>
      <c r="CJ85" s="393"/>
      <c r="CK85" s="393"/>
      <c r="CL85" s="393"/>
      <c r="CM85" s="1466"/>
      <c r="CN85" s="1467"/>
      <c r="CO85" s="1499"/>
      <c r="CP85" s="1502"/>
      <c r="CQ85" s="1487"/>
      <c r="CR85" s="1497"/>
      <c r="CS85" s="1470"/>
      <c r="CT85" s="1470"/>
      <c r="CU85" s="1470"/>
      <c r="CV85" s="1470"/>
      <c r="CW85" s="1507"/>
      <c r="CX85" s="1490"/>
      <c r="CY85" s="1458"/>
      <c r="CZ85" s="85"/>
      <c r="DA85" s="801"/>
      <c r="DB85" s="801"/>
      <c r="DC85" s="801"/>
      <c r="DD85" s="801"/>
      <c r="DE85" s="71"/>
      <c r="DF85" s="71"/>
      <c r="DG85" s="393"/>
      <c r="DH85" s="393"/>
      <c r="DI85" s="393"/>
      <c r="DJ85" s="393"/>
      <c r="DK85" s="393"/>
      <c r="DL85" s="393"/>
      <c r="DM85" s="393"/>
      <c r="DN85" s="393"/>
      <c r="DO85" s="393"/>
      <c r="DP85" s="393"/>
      <c r="DQ85" s="393"/>
      <c r="DR85" s="393"/>
      <c r="DS85" s="393"/>
      <c r="DT85" s="393"/>
      <c r="DU85" s="393"/>
      <c r="DV85" s="393"/>
      <c r="DW85" s="393"/>
      <c r="DX85" s="393"/>
      <c r="DY85" s="393"/>
      <c r="DZ85" s="393"/>
      <c r="EA85" s="393"/>
      <c r="EB85" s="393"/>
      <c r="EC85" s="393"/>
      <c r="ED85" s="393"/>
      <c r="EE85" s="393"/>
      <c r="EF85" s="393"/>
      <c r="EG85" s="393"/>
      <c r="EH85" s="393"/>
      <c r="EI85" s="393"/>
      <c r="EJ85" s="393"/>
      <c r="EK85" s="393"/>
      <c r="EL85" s="393"/>
      <c r="EM85" s="393"/>
      <c r="EN85" s="393"/>
      <c r="EO85" s="393"/>
      <c r="EP85" s="393"/>
      <c r="EQ85" s="393"/>
      <c r="ER85" s="393"/>
      <c r="ES85" s="393"/>
      <c r="ET85" s="393"/>
      <c r="EU85" s="255"/>
      <c r="EV85" s="255"/>
      <c r="EW85" s="255"/>
      <c r="EX85" s="255"/>
      <c r="EY85" s="570"/>
      <c r="EZ85" s="570"/>
      <c r="FA85" s="324"/>
      <c r="FB85" s="393"/>
      <c r="FC85" s="393"/>
      <c r="FD85" s="393"/>
      <c r="FE85" s="393"/>
      <c r="FF85" s="324"/>
      <c r="FG85" s="324"/>
      <c r="FH85" s="324"/>
      <c r="FI85" s="324"/>
      <c r="FJ85" s="324"/>
      <c r="FK85" s="324"/>
      <c r="FL85" s="324"/>
      <c r="FM85" s="324"/>
      <c r="FN85" s="324"/>
      <c r="FO85" s="324"/>
      <c r="FP85" s="324"/>
      <c r="FQ85" s="579"/>
      <c r="FR85" s="579"/>
      <c r="FS85" s="579"/>
      <c r="FT85" s="579"/>
      <c r="FU85" s="579"/>
      <c r="FV85" s="579"/>
      <c r="FW85" s="579"/>
      <c r="FX85" s="579"/>
      <c r="FY85" s="324"/>
      <c r="FZ85" s="579"/>
      <c r="GA85" s="579"/>
      <c r="GB85" s="579"/>
      <c r="GC85" s="579"/>
      <c r="GD85" s="324"/>
      <c r="GE85" s="324"/>
      <c r="GF85" s="324"/>
      <c r="GG85" s="324"/>
      <c r="GH85" s="324"/>
      <c r="GI85" s="324"/>
      <c r="GJ85" s="71"/>
      <c r="GK85" s="71"/>
      <c r="GL85" s="324"/>
      <c r="GM85" s="324"/>
      <c r="GN85" s="324"/>
      <c r="GO85" s="324"/>
      <c r="GP85" s="324"/>
      <c r="GQ85" s="324"/>
      <c r="GR85" s="324"/>
      <c r="GS85" s="324"/>
      <c r="GT85" s="324"/>
      <c r="GU85" s="324"/>
      <c r="GV85" s="324"/>
      <c r="GW85" s="393"/>
      <c r="GX85" s="393"/>
      <c r="GY85" s="393"/>
      <c r="GZ85" s="393"/>
      <c r="HA85" s="324"/>
      <c r="HB85" s="324"/>
      <c r="HC85" s="324"/>
      <c r="HD85" s="324"/>
      <c r="HE85" s="324"/>
      <c r="HF85" s="324"/>
      <c r="HG85" s="393"/>
      <c r="HH85" s="393"/>
      <c r="HI85" s="393"/>
      <c r="HJ85" s="393"/>
      <c r="HK85" s="393"/>
      <c r="HL85" s="393"/>
      <c r="HM85" s="324"/>
      <c r="HN85" s="324"/>
    </row>
    <row r="86" spans="23:222" ht="15">
      <c r="W86" s="64"/>
      <c r="X86" s="255"/>
      <c r="Y86" s="64"/>
      <c r="Z86" s="570"/>
      <c r="AA86" s="570"/>
      <c r="AB86" s="570"/>
      <c r="AC86" s="255"/>
      <c r="AD86" s="255"/>
      <c r="AE86" s="255"/>
      <c r="AF86" s="255"/>
      <c r="AG86" s="255"/>
      <c r="AH86" s="255"/>
      <c r="AI86" s="391"/>
      <c r="AJ86" s="391"/>
      <c r="AK86" s="570"/>
      <c r="AL86" s="570"/>
      <c r="AM86" s="570"/>
      <c r="AN86" s="570"/>
      <c r="AO86" s="391"/>
      <c r="AP86" s="391"/>
      <c r="AQ86" s="391"/>
      <c r="AR86" s="568"/>
      <c r="AS86" s="391"/>
      <c r="AT86" s="391"/>
      <c r="AU86" s="391"/>
      <c r="AV86" s="391"/>
      <c r="AW86" s="391"/>
      <c r="AX86" s="391"/>
      <c r="AY86" s="391"/>
      <c r="AZ86" s="568"/>
      <c r="BA86" s="391"/>
      <c r="BB86" s="391"/>
      <c r="BC86" s="391"/>
      <c r="BD86" s="391"/>
      <c r="BE86" s="391"/>
      <c r="BF86" s="391"/>
      <c r="BG86" s="391"/>
      <c r="BH86" s="391"/>
      <c r="BI86" s="391"/>
      <c r="BJ86" s="391"/>
      <c r="BK86" s="391"/>
      <c r="BM86" s="391"/>
      <c r="BN86" s="391"/>
      <c r="BO86" s="391"/>
      <c r="BP86" s="391"/>
      <c r="BQ86" s="391"/>
      <c r="BR86" s="391"/>
      <c r="BS86" s="391"/>
      <c r="BT86" s="391"/>
      <c r="BU86" s="391"/>
      <c r="BV86" s="570"/>
      <c r="BW86" s="570"/>
      <c r="BX86" s="570"/>
      <c r="BY86" s="570"/>
      <c r="BZ86" s="570"/>
      <c r="CA86" s="570"/>
      <c r="CB86" s="570"/>
      <c r="CC86" s="570"/>
      <c r="CD86" s="391"/>
      <c r="CE86" s="570"/>
      <c r="CF86" s="570"/>
      <c r="CG86" s="570"/>
      <c r="CH86" s="570"/>
      <c r="CI86" s="570"/>
      <c r="CJ86" s="391"/>
      <c r="CM86" s="1519" t="s">
        <v>192</v>
      </c>
      <c r="CN86" s="1520"/>
      <c r="CO86" s="42"/>
      <c r="CP86" s="291"/>
      <c r="CQ86" s="259"/>
      <c r="CR86" s="260"/>
      <c r="CS86" s="496"/>
      <c r="CT86" s="497"/>
      <c r="CU86" s="498"/>
      <c r="CV86" s="920"/>
      <c r="CW86" s="257"/>
      <c r="CX86" s="338"/>
      <c r="CY86" s="339"/>
      <c r="CZ86" s="79"/>
      <c r="DA86" s="801"/>
      <c r="DB86" s="801"/>
      <c r="DC86" s="801"/>
      <c r="DD86" s="801"/>
      <c r="DE86" s="71"/>
      <c r="DF86" s="71"/>
      <c r="ET86" s="570"/>
      <c r="EU86" s="570"/>
      <c r="EV86" s="570"/>
      <c r="EW86" s="570"/>
      <c r="EX86" s="570"/>
      <c r="EY86" s="570"/>
      <c r="EZ86" s="570"/>
      <c r="FA86" s="324"/>
      <c r="FB86" s="324"/>
      <c r="FC86" s="324"/>
      <c r="FD86" s="324"/>
      <c r="FE86" s="324"/>
      <c r="FF86" s="324"/>
      <c r="FG86" s="324"/>
      <c r="FH86" s="324"/>
      <c r="FI86" s="324"/>
      <c r="FJ86" s="324"/>
      <c r="FK86" s="324"/>
      <c r="FL86" s="324"/>
      <c r="FM86" s="324"/>
      <c r="FN86" s="324"/>
      <c r="FO86" s="324"/>
      <c r="FP86" s="324"/>
      <c r="FQ86" s="579"/>
      <c r="FR86" s="579"/>
      <c r="FS86" s="579"/>
      <c r="FT86" s="579"/>
      <c r="FU86" s="579"/>
      <c r="FV86" s="579"/>
      <c r="FW86" s="579"/>
      <c r="FX86" s="579"/>
      <c r="FY86" s="324"/>
      <c r="FZ86" s="324"/>
      <c r="GA86" s="324"/>
      <c r="GB86" s="324"/>
      <c r="GC86" s="324"/>
      <c r="GD86" s="324"/>
      <c r="GE86" s="324"/>
      <c r="GF86" s="324"/>
      <c r="GG86" s="324"/>
      <c r="GH86" s="324"/>
      <c r="GI86" s="324"/>
      <c r="GJ86" s="64"/>
      <c r="GK86" s="64"/>
      <c r="GL86" s="324"/>
      <c r="GM86" s="324"/>
      <c r="GN86" s="324"/>
      <c r="GO86" s="324"/>
      <c r="GP86" s="324"/>
      <c r="GQ86" s="324"/>
      <c r="GR86" s="324"/>
      <c r="GS86" s="324"/>
      <c r="GT86" s="324"/>
      <c r="GU86" s="324"/>
      <c r="GV86" s="324"/>
      <c r="GW86" s="393"/>
      <c r="GX86" s="393"/>
      <c r="GY86" s="393"/>
      <c r="GZ86" s="393"/>
      <c r="HA86" s="324"/>
      <c r="HB86" s="324"/>
      <c r="HC86" s="324"/>
      <c r="HD86" s="324"/>
      <c r="HE86" s="324"/>
      <c r="HF86" s="324"/>
      <c r="HG86" s="324"/>
      <c r="HH86" s="324"/>
      <c r="HI86" s="324"/>
      <c r="HJ86" s="324"/>
      <c r="HK86" s="324"/>
      <c r="HL86" s="324"/>
      <c r="HM86" s="324"/>
      <c r="HN86" s="324"/>
    </row>
    <row r="87" spans="23:222" ht="15">
      <c r="W87" s="64"/>
      <c r="X87" s="255"/>
      <c r="Y87" s="64"/>
      <c r="Z87" s="570"/>
      <c r="AA87" s="570"/>
      <c r="AB87" s="570"/>
      <c r="AC87" s="255"/>
      <c r="AD87" s="255"/>
      <c r="AE87" s="255"/>
      <c r="AF87" s="255"/>
      <c r="AG87" s="255"/>
      <c r="AH87" s="255"/>
      <c r="AI87" s="255"/>
      <c r="AJ87" s="255"/>
      <c r="AK87" s="570"/>
      <c r="AL87" s="570"/>
      <c r="AM87" s="570"/>
      <c r="AN87" s="570"/>
      <c r="AO87" s="391"/>
      <c r="AP87" s="391"/>
      <c r="AQ87" s="391"/>
      <c r="AR87" s="391"/>
      <c r="AS87" s="391"/>
      <c r="AT87" s="391"/>
      <c r="AU87" s="391"/>
      <c r="AV87" s="391"/>
      <c r="AW87" s="391"/>
      <c r="AX87" s="391"/>
      <c r="AY87" s="391"/>
      <c r="AZ87" s="391"/>
      <c r="BA87" s="391"/>
      <c r="BB87" s="391"/>
      <c r="BC87" s="391"/>
      <c r="BD87" s="391"/>
      <c r="BE87" s="391"/>
      <c r="BF87" s="391"/>
      <c r="BG87" s="391"/>
      <c r="BH87" s="391"/>
      <c r="BI87" s="391"/>
      <c r="BJ87" s="391"/>
      <c r="BK87" s="391"/>
      <c r="BM87" s="78"/>
      <c r="BN87" s="78"/>
      <c r="BO87" s="255"/>
      <c r="BP87" s="255"/>
      <c r="BQ87" s="333"/>
      <c r="BR87" s="333"/>
      <c r="BS87" s="333"/>
      <c r="BT87" s="255"/>
      <c r="BU87" s="255"/>
      <c r="BV87" s="255"/>
      <c r="BW87" s="255"/>
      <c r="BX87" s="842"/>
      <c r="BY87" s="327"/>
      <c r="BZ87" s="327"/>
      <c r="CA87" s="327"/>
      <c r="CB87" s="327"/>
      <c r="CC87" s="923" t="s">
        <v>442</v>
      </c>
      <c r="CD87" s="649"/>
      <c r="CE87" s="924"/>
      <c r="CF87" s="925"/>
      <c r="CG87" s="327"/>
      <c r="CH87" s="327"/>
      <c r="CI87" s="570"/>
      <c r="CJ87" s="391"/>
      <c r="CM87" s="1464"/>
      <c r="CN87" s="1465"/>
      <c r="CO87" s="42"/>
      <c r="CP87" s="292"/>
      <c r="CQ87" s="259"/>
      <c r="CR87" s="260"/>
      <c r="CS87" s="281"/>
      <c r="CT87" s="282"/>
      <c r="CU87" s="283"/>
      <c r="CV87" s="921"/>
      <c r="CW87" s="50"/>
      <c r="CX87" s="340"/>
      <c r="CY87" s="341"/>
      <c r="CZ87" s="79"/>
      <c r="DA87" s="33"/>
      <c r="DB87" s="33"/>
      <c r="DC87" s="33"/>
      <c r="DD87" s="33"/>
      <c r="DE87" s="248"/>
      <c r="DF87" s="248"/>
      <c r="ET87" s="570"/>
      <c r="EU87" s="570"/>
      <c r="EV87" s="570"/>
      <c r="EW87" s="570"/>
      <c r="EX87" s="570"/>
      <c r="EY87" s="570"/>
      <c r="EZ87" s="570"/>
      <c r="FA87" s="324"/>
      <c r="FB87" s="324"/>
      <c r="FC87" s="324"/>
      <c r="FD87" s="324"/>
      <c r="FE87" s="324"/>
      <c r="FF87" s="324"/>
      <c r="FG87" s="324"/>
      <c r="FH87" s="324"/>
      <c r="FI87" s="324"/>
      <c r="FJ87" s="324"/>
      <c r="FK87" s="324"/>
      <c r="FL87" s="324"/>
      <c r="FM87" s="324"/>
      <c r="FN87" s="324"/>
      <c r="FO87" s="324"/>
      <c r="FP87" s="324"/>
      <c r="FQ87" s="588"/>
      <c r="FR87" s="588"/>
      <c r="FS87" s="588"/>
      <c r="FT87" s="588"/>
      <c r="FU87" s="588"/>
      <c r="FV87" s="588"/>
      <c r="FW87" s="579"/>
      <c r="FX87" s="579"/>
      <c r="FY87" s="324"/>
      <c r="FZ87" s="324"/>
      <c r="GA87" s="324"/>
      <c r="GB87" s="324"/>
      <c r="GC87" s="324"/>
      <c r="GD87" s="324"/>
      <c r="GE87" s="324"/>
      <c r="GF87" s="324"/>
      <c r="GG87" s="324"/>
      <c r="GH87" s="324"/>
      <c r="GI87" s="324"/>
      <c r="GJ87" s="64"/>
      <c r="GK87" s="64"/>
      <c r="GL87" s="324"/>
      <c r="GM87" s="324"/>
      <c r="GN87" s="324"/>
      <c r="GO87" s="324"/>
      <c r="GP87" s="324"/>
      <c r="GQ87" s="324"/>
      <c r="GR87" s="324"/>
      <c r="GS87" s="324"/>
      <c r="GT87" s="324"/>
      <c r="GU87" s="324"/>
      <c r="GV87" s="324"/>
      <c r="GW87" s="324"/>
      <c r="GX87" s="324"/>
      <c r="GY87" s="324"/>
      <c r="GZ87" s="324"/>
      <c r="HA87" s="324"/>
      <c r="HB87" s="324"/>
      <c r="HC87" s="324"/>
      <c r="HD87" s="324"/>
      <c r="HE87" s="324"/>
      <c r="HF87" s="324"/>
      <c r="HG87" s="324"/>
      <c r="HH87" s="324"/>
      <c r="HI87" s="324"/>
      <c r="HJ87" s="324"/>
      <c r="HK87" s="324"/>
      <c r="HL87" s="324"/>
      <c r="HM87" s="324"/>
      <c r="HN87" s="324"/>
    </row>
    <row r="88" spans="23:222" ht="15.75" thickBot="1">
      <c r="W88" s="64"/>
      <c r="X88" s="255"/>
      <c r="Y88" s="64"/>
      <c r="Z88" s="570"/>
      <c r="AA88" s="570"/>
      <c r="AB88" s="570"/>
      <c r="AC88" s="255"/>
      <c r="AD88" s="255"/>
      <c r="AE88" s="255"/>
      <c r="AF88" s="255"/>
      <c r="AG88" s="255"/>
      <c r="AH88" s="255"/>
      <c r="BK88" s="391"/>
      <c r="BM88" s="842" t="s">
        <v>224</v>
      </c>
      <c r="BN88" s="842"/>
      <c r="BO88" s="842"/>
      <c r="BP88" s="842"/>
      <c r="BQ88" s="842" t="s">
        <v>225</v>
      </c>
      <c r="BR88" s="842"/>
      <c r="BS88" s="842"/>
      <c r="BT88" s="842" t="s">
        <v>240</v>
      </c>
      <c r="BU88" s="61"/>
      <c r="BV88" s="842"/>
      <c r="BW88" s="842" t="s">
        <v>226</v>
      </c>
      <c r="BX88" s="842" t="s">
        <v>238</v>
      </c>
      <c r="BY88" s="844" t="s">
        <v>438</v>
      </c>
      <c r="BZ88" s="334"/>
      <c r="CA88" s="334" t="s">
        <v>439</v>
      </c>
      <c r="CB88" s="334"/>
      <c r="CC88" s="926" t="s">
        <v>324</v>
      </c>
      <c r="CD88" s="78" t="s">
        <v>441</v>
      </c>
      <c r="CE88" s="333" t="s">
        <v>323</v>
      </c>
      <c r="CF88" s="927" t="s">
        <v>440</v>
      </c>
      <c r="CG88" s="334"/>
      <c r="CH88" s="334" t="s">
        <v>343</v>
      </c>
      <c r="CI88" s="570"/>
      <c r="CJ88" s="391"/>
      <c r="CM88" s="1521"/>
      <c r="CN88" s="1522"/>
      <c r="CO88" s="42"/>
      <c r="CP88" s="293"/>
      <c r="CQ88" s="265"/>
      <c r="CR88" s="266"/>
      <c r="CS88" s="284"/>
      <c r="CT88" s="285"/>
      <c r="CU88" s="286"/>
      <c r="CV88" s="922"/>
      <c r="CW88" s="885"/>
      <c r="CX88" s="342"/>
      <c r="CY88" s="343"/>
      <c r="CZ88" s="79"/>
      <c r="DA88" s="374"/>
      <c r="DB88" s="374"/>
      <c r="DC88" s="374"/>
      <c r="DD88" s="33"/>
      <c r="DE88" s="334"/>
      <c r="DF88" s="334"/>
      <c r="ET88" s="570"/>
      <c r="EU88" s="570"/>
      <c r="EV88" s="570"/>
      <c r="EW88" s="570"/>
      <c r="EX88" s="570"/>
      <c r="EY88" s="570"/>
      <c r="EZ88" s="570"/>
      <c r="FA88" s="324"/>
      <c r="FB88" s="324"/>
      <c r="FC88" s="324"/>
      <c r="FD88" s="324"/>
      <c r="FE88" s="324"/>
      <c r="FF88" s="324"/>
      <c r="FG88" s="324"/>
      <c r="FH88" s="324"/>
      <c r="FI88" s="324"/>
      <c r="FJ88" s="324"/>
      <c r="FK88" s="324"/>
      <c r="FL88" s="324"/>
      <c r="FM88" s="324"/>
      <c r="FN88" s="324"/>
      <c r="FO88" s="324"/>
      <c r="FP88" s="324"/>
      <c r="FQ88" s="324"/>
      <c r="FR88" s="324"/>
      <c r="FS88" s="324"/>
      <c r="FT88" s="324"/>
      <c r="FU88" s="324"/>
      <c r="FV88" s="324"/>
      <c r="FW88" s="324"/>
      <c r="FX88" s="324"/>
      <c r="FY88" s="324"/>
      <c r="FZ88" s="324"/>
      <c r="GA88" s="324"/>
      <c r="GB88" s="324"/>
      <c r="GC88" s="324"/>
      <c r="GD88" s="324"/>
      <c r="GE88" s="324"/>
      <c r="GF88" s="324"/>
      <c r="GG88" s="324"/>
      <c r="GH88" s="324"/>
      <c r="GI88" s="324"/>
      <c r="GJ88" s="64"/>
      <c r="GK88" s="64"/>
      <c r="GL88" s="324"/>
      <c r="GM88" s="324"/>
      <c r="GN88" s="324"/>
      <c r="GO88" s="324"/>
      <c r="GP88" s="324"/>
      <c r="GQ88" s="324"/>
      <c r="GR88" s="324"/>
      <c r="GS88" s="324"/>
      <c r="GT88" s="324"/>
      <c r="GU88" s="324"/>
      <c r="GV88" s="324"/>
      <c r="GW88" s="324"/>
      <c r="GX88" s="324"/>
      <c r="GY88" s="324"/>
      <c r="GZ88" s="324"/>
      <c r="HA88" s="324"/>
      <c r="HB88" s="324"/>
      <c r="HC88" s="324"/>
      <c r="HD88" s="324"/>
      <c r="HE88" s="324"/>
      <c r="HF88" s="324"/>
      <c r="HG88" s="324"/>
      <c r="HH88" s="324"/>
      <c r="HI88" s="324"/>
      <c r="HJ88" s="324"/>
      <c r="HK88" s="324"/>
      <c r="HL88" s="324"/>
      <c r="HM88" s="324"/>
      <c r="HN88" s="324"/>
    </row>
    <row r="89" spans="63:222" ht="15">
      <c r="BK89" s="391"/>
      <c r="BM89" s="842">
        <f>COUNT(BM61:BM82)</f>
        <v>0</v>
      </c>
      <c r="BN89" s="842">
        <f>COUNT(BN61:BN82)</f>
        <v>0</v>
      </c>
      <c r="BO89" s="842">
        <f>COUNT(BO61:BO82)</f>
        <v>0</v>
      </c>
      <c r="BP89" s="842">
        <f>COUNT(BP61:BP82)</f>
        <v>0</v>
      </c>
      <c r="BQ89" s="842">
        <f>SUM(BM89:BP89)</f>
        <v>0</v>
      </c>
      <c r="BR89" s="842"/>
      <c r="BS89" s="842"/>
      <c r="BT89" s="842" t="e">
        <f>BP90/(BQ89+8)</f>
        <v>#NUM!</v>
      </c>
      <c r="BU89" s="61" t="e">
        <f>IF(BV89&lt;&gt;"",0,1)</f>
        <v>#NUM!</v>
      </c>
      <c r="BV89" s="842" t="e">
        <f>IF(OR($BQ89&lt;35,AND($BY$89&gt;$BT$89,BQ89&lt;40)),1,"")</f>
        <v>#NUM!</v>
      </c>
      <c r="BW89" s="842" t="s">
        <v>239</v>
      </c>
      <c r="BX89" s="842">
        <f aca="true" t="shared" si="174" ref="BX89:BX100">IF(CC89&lt;&gt;0,$CC$37&amp;CC89,IF(CD89&lt;&gt;0,$CD$37&amp;CD89,IF(CE89&lt;&gt;0,$CE$37&amp;CE89,IF(CF89&lt;&gt;0,$CF$37&amp;CF89,""))))</f>
      </c>
      <c r="BY89" s="842">
        <f>IF(ISERROR(LARGE($BT$62:$BW$85,CA89))=TRUE,"",LARGE($BT$62:$BW$85,CA89))</f>
      </c>
      <c r="BZ89" s="248"/>
      <c r="CA89" s="248">
        <v>1</v>
      </c>
      <c r="CB89" s="248"/>
      <c r="CC89" s="928">
        <f>IF(OR($BY89="",ISERROR(MATCH($BY89,$BW$62:$BW$85,0)=TRUE)),0,MATCH($BY89,BW62:BW85,0)+61)</f>
        <v>0</v>
      </c>
      <c r="CD89" s="255">
        <f>IF(OR($BY89="",CC89&lt;&gt;0,ISERROR(MATCH($BY89,BV62:BV85,0)=TRUE)),0,MATCH($BY89,BV62:BV85,0)+61)</f>
        <v>0</v>
      </c>
      <c r="CE89" s="255">
        <f>IF(OR($BY89="",CC89&lt;&gt;0,CD89&lt;&gt;0,ISERROR(MATCH($BY89,BU62:BU85,0)=TRUE)),0,MATCH($BY89,BU62:BU85,0)+61)</f>
        <v>0</v>
      </c>
      <c r="CF89" s="929">
        <f>IF(OR($BY89="",CC89&lt;&gt;0,CD89&lt;&gt;0,CE89&lt;&gt;0,ISERROR(MATCH($BY89,BT62:BT85,0)=TRUE)),0,MATCH($BY89,BT62:BT85,0)+61)</f>
        <v>0</v>
      </c>
      <c r="CG89" s="248"/>
      <c r="CH89" s="248">
        <f>IF(RIGHT(BX89,2)="83","PJK","")</f>
      </c>
      <c r="CI89" s="570"/>
      <c r="CJ89" s="61">
        <f>IF(CH89="","",BQ90)</f>
      </c>
      <c r="CM89" s="81"/>
      <c r="CN89" s="82"/>
      <c r="CO89" s="395"/>
      <c r="CP89" s="317" t="s">
        <v>243</v>
      </c>
      <c r="CQ89" s="1318"/>
      <c r="CR89" s="1319"/>
      <c r="CS89" s="49">
        <f>COUNT(CS61:CS83)</f>
        <v>0</v>
      </c>
      <c r="CT89" s="83">
        <f>COUNT(CT61:CT83)</f>
        <v>0</v>
      </c>
      <c r="CU89" s="250">
        <f>COUNT(CU61:CU83)</f>
        <v>0</v>
      </c>
      <c r="CV89" s="251">
        <f>COUNT(CV61:CV83)</f>
        <v>0</v>
      </c>
      <c r="CW89" s="250">
        <f>SUM(CS89:CV89)</f>
        <v>0</v>
      </c>
      <c r="CX89" s="252">
        <f>SUM(CX61:CX85)</f>
        <v>0</v>
      </c>
      <c r="CY89" s="84">
        <f>SUM(CY61:CY82)</f>
        <v>0</v>
      </c>
      <c r="CZ89" s="85"/>
      <c r="DA89" s="40">
        <f>SUM(DF61:DF85)</f>
        <v>0</v>
      </c>
      <c r="DB89" s="40">
        <f>IF(DA89=0,"","im Lk-Bereich")</f>
      </c>
      <c r="DC89" s="33"/>
      <c r="DD89" s="33"/>
      <c r="DE89" s="248"/>
      <c r="DF89" s="248"/>
      <c r="ET89" s="570"/>
      <c r="EU89" s="570"/>
      <c r="EV89" s="570"/>
      <c r="EW89" s="570"/>
      <c r="EX89" s="570"/>
      <c r="EY89" s="570"/>
      <c r="EZ89" s="570"/>
      <c r="FA89" s="324"/>
      <c r="FB89" s="324"/>
      <c r="FC89" s="324"/>
      <c r="FD89" s="324"/>
      <c r="FE89" s="324"/>
      <c r="FF89" s="324"/>
      <c r="FG89" s="324"/>
      <c r="FH89" s="324"/>
      <c r="FI89" s="324"/>
      <c r="FJ89" s="324"/>
      <c r="FK89" s="324"/>
      <c r="FL89" s="324"/>
      <c r="FM89" s="324"/>
      <c r="FN89" s="324"/>
      <c r="FO89" s="324"/>
      <c r="FP89" s="324"/>
      <c r="FQ89" s="324"/>
      <c r="FR89" s="324"/>
      <c r="FS89" s="324"/>
      <c r="FT89" s="324"/>
      <c r="FU89" s="324"/>
      <c r="FV89" s="324"/>
      <c r="FW89" s="324"/>
      <c r="FX89" s="324"/>
      <c r="FY89" s="324"/>
      <c r="FZ89" s="324"/>
      <c r="GA89" s="324"/>
      <c r="GB89" s="324"/>
      <c r="GC89" s="324"/>
      <c r="GD89" s="324"/>
      <c r="GE89" s="324"/>
      <c r="GF89" s="324"/>
      <c r="GG89" s="324"/>
      <c r="GH89" s="324"/>
      <c r="GI89" s="324"/>
      <c r="GJ89" s="64"/>
      <c r="GK89" s="64"/>
      <c r="GL89" s="324"/>
      <c r="GM89" s="324"/>
      <c r="GN89" s="324"/>
      <c r="GO89" s="324"/>
      <c r="GP89" s="324"/>
      <c r="GQ89" s="324"/>
      <c r="GR89" s="324"/>
      <c r="GS89" s="324"/>
      <c r="GT89" s="324"/>
      <c r="GU89" s="324"/>
      <c r="GV89" s="324"/>
      <c r="GW89" s="324"/>
      <c r="GX89" s="324"/>
      <c r="GY89" s="324"/>
      <c r="GZ89" s="324"/>
      <c r="HA89" s="324"/>
      <c r="HB89" s="324"/>
      <c r="HC89" s="324"/>
      <c r="HD89" s="324"/>
      <c r="HE89" s="324"/>
      <c r="HF89" s="324"/>
      <c r="HG89" s="324"/>
      <c r="HH89" s="324"/>
      <c r="HI89" s="324"/>
      <c r="HJ89" s="324"/>
      <c r="HK89" s="324"/>
      <c r="HL89" s="324"/>
      <c r="HM89" s="324"/>
      <c r="HN89" s="324"/>
    </row>
    <row r="90" spans="63:188" ht="15.75" thickBot="1">
      <c r="BK90" s="391"/>
      <c r="BM90" s="842"/>
      <c r="BN90" s="842"/>
      <c r="BO90" s="842" t="s">
        <v>241</v>
      </c>
      <c r="BP90" s="842" t="e">
        <f>SUM(BM61:BP82)+SUM(BQ61:BQ82)</f>
        <v>#NUM!</v>
      </c>
      <c r="BQ90" s="842" t="e">
        <f aca="true" t="shared" si="175" ref="BQ90:BQ95">IF(OR(AND(BV89&lt;&gt;"",BQ89&lt;40),BQ89&lt;35),BQ89+1,"")</f>
        <v>#NUM!</v>
      </c>
      <c r="BR90" s="842"/>
      <c r="BS90" s="842"/>
      <c r="BT90" s="842" t="e">
        <f>IF(BQ90="","",($BP$90+BY89)/(BQ90+8))</f>
        <v>#NUM!</v>
      </c>
      <c r="BU90" s="425" t="e">
        <f>IF(OR(BV90&lt;&gt;"",MAX($BU$89:BU89)=3,AND(RIGHT(BX90,2)=RIGHT(BX89,2),VALUE(RIGHT(BX90,2))&gt;30)),0,BU89+1)</f>
        <v>#NUM!</v>
      </c>
      <c r="BV90" s="842" t="e">
        <f>IF(BV89="","",IF(OR(COUNT($BM$61:$BP$85)+$BV89&lt;35,AND(MAX($BV$89:BV89)+$BQ$89&lt;40,AND($BQ90&lt;40,$BY90&gt;$BT90))),BV89+1,""))</f>
        <v>#NUM!</v>
      </c>
      <c r="BW90" s="842" t="s">
        <v>227</v>
      </c>
      <c r="BX90" s="842">
        <f t="shared" si="174"/>
      </c>
      <c r="BY90" s="842">
        <f aca="true" t="shared" si="176" ref="BY90:BY100">IF(ISERROR(LARGE($BT$62:$BW$85,CA90))=TRUE,"",LARGE($BT$62:$BW$85,CA90))</f>
      </c>
      <c r="BZ90" s="248"/>
      <c r="CA90" s="248">
        <v>2</v>
      </c>
      <c r="CB90" s="248"/>
      <c r="CC90" s="255">
        <f ca="1">IF(OR($BY90="",ISERROR(MATCH($BY90,$BW$62:$BW$85,0))=TRUE),0,IF(OR(AND(COUNTIF($BW$62:$BW$85,$BY90)=1,ISNA(MATCH(MATCH($BY90,$BW$62:$BW$85,0)+61,CC$89:CC89,0)=TRUE)),AND(COUNTIF($BW$62:$BW$85,$BY90)&gt;=2,$BY90&lt;&gt;$BY89)),MATCH($BY90,$BW$62:$BW$85,0)+61,IF(AND(COUNTIF($BW$62:$BW$85,$BY90)&gt;=2,COUNTIF(INDIRECT("CC$"&amp;MATCH($BY90,$BY$89:$BY90,0)+87):CC89,"&gt;0")&lt;COUNTIF($BW$62:$BW$85,$BY90),CC89&lt;&gt;0),MATCH($BY90,INDIRECT("BW"&amp;CC89+1):$BW$85,0)+CC89,IF(AND(COUNTIF($BW$62:$BW$85,$BY90)&gt;=2,COUNTIF(INDIRECT("CC$"&amp;MATCH($BY90,$BY$89:$BY90,0)+87):CC89,"&gt;0")&lt;COUNTIF($BW$62:$BW$85,$BY90)),MATCH($BY90,$BW$62:$BW$85,0)+61,0))))</f>
        <v>0</v>
      </c>
      <c r="CD90" s="255">
        <f ca="1">IF(OR($BY90="",CC90&lt;&gt;0,ISERROR(MATCH($BY90,$BV$62:$BV$85,0))=TRUE),0,IF(OR(AND(COUNTIF($BV$62:$BV$85,$BY90)=1,ISNA(MATCH(MATCH($BY90,$BV$62:$BV$85,0)+61,CD$89:CD89,0)=TRUE)),AND(COUNTIF($BV$62:$BV$85,$BY90)&gt;=2,$BY90&lt;&gt;$BY89)),MATCH($BY90,$BV$62:$BV$85,0)+61,IF(AND(COUNTIF($BV$62:$BV$85,$BY90)&gt;=2,COUNTIF(INDIRECT("CD$"&amp;MATCH($BY90,$BY$89:$BY90,0)+87):CD89,"&gt;0")&lt;COUNTIF($BV$62:$BV$85,$BY90),CD89&lt;&gt;0),MATCH($BY90,INDIRECT("BV"&amp;CD89+1):$BV$85,0)+CD89,IF(AND(COUNTIF($BV$62:$BV$85,$BY90)&gt;=2,COUNTIF(INDIRECT("CD$"&amp;MATCH($BY90,$BY$89:$BY90,0)+87):CD89,"&gt;0")&lt;COUNTIF($BV$62:$BV$85,$BY90)),MATCH($BY90,$BV$62:$BV$85,0)+61,0))))</f>
        <v>0</v>
      </c>
      <c r="CE90" s="255">
        <f ca="1">IF(OR($BY90="",CC90&lt;&gt;0,CD90&lt;&gt;0,ISERROR(MATCH($BY90,$BU$62:$BU$85,0))=TRUE),0,IF(OR(AND(COUNTIF($BU$62:$BU$85,$BY90)=1,ISNA(MATCH(MATCH($BY90,$BU$62:$BU$85,0)+61,CE$89:CE89,0)=TRUE)),AND(COUNTIF($BU$62:$BU$85,$BY90)&gt;=2,$BY90&lt;&gt;$BY89)),MATCH($BY90,$BU$62:$BU$85,0)+61,IF(AND(COUNTIF($BU$62:$BU$85,$BY90)&gt;=2,COUNTIF(INDIRECT("CE$"&amp;MATCH($BY90,$BY$89:$BY90,0)+87):CE89,"&gt;0")&lt;COUNTIF($BU$62:$BU$85,$BY90),CE89&lt;&gt;0),MATCH($BY90,INDIRECT("BU"&amp;CE89+1):$BU$85,0)+CE89,IF(AND(COUNTIF($BU$62:$BU$85,$BY90)&gt;=2,COUNTIF(INDIRECT("CE$"&amp;MATCH($BY90,$BY$89:$BY90,0)+87):CE89,"&gt;0")&lt;COUNTIF($BU$62:$BU$85,$BY90)),MATCH($BY90,$BU$62:BU$85,0)+61,0))))</f>
        <v>0</v>
      </c>
      <c r="CF90" s="255">
        <f ca="1">IF(OR($BY90="",CC90&lt;&gt;0,CD90&lt;&gt;0,CE90&lt;&gt;0,ISERROR(MATCH($BY90,$BT$62:$BT$85,0))=TRUE),0,IF(OR(AND(COUNTIF($BT$62:$BT$85,$BY90)=1,ISNA(MATCH(MATCH($BY90,$BT$62:$BT$85,0)+61,CF$89:CF89,0)=TRUE)),AND(COUNTIF($BT$62:$BT$85,$BY90)&gt;=2,$BY90&lt;&gt;$BY89)),MATCH($BY90,$BT$62:$BT$85,0)+61,IF(AND(COUNTIF($BT$62:$BT$85,$BY90)&gt;=2,COUNTIF(INDIRECT("CF$"&amp;MATCH($BY90,$BY$89:$BY90,0)+87):CF89,"&gt;0")&lt;COUNTIF($BT$62:$BT$85,$BY90),CF89&lt;&gt;0),MATCH($BY90,INDIRECT("BT"&amp;CF89+1):$BT$85,0)+CF89,IF(AND(COUNTIF($BT$62:$BT$85,$BY90)&gt;=2,COUNTIF(INDIRECT("CF$"&amp;MATCH($BY90,$BY$89:$BY90,0)+87):CF89,"&gt;0")&lt;COUNTIF($BT$62:$BT$85,$BY90)),MATCH($BY90,$BT$62:BT$85,0)+61,0))))</f>
        <v>0</v>
      </c>
      <c r="CG90" s="248"/>
      <c r="CH90" s="248">
        <f aca="true" t="shared" si="177" ref="CH90:CH100">IF(RIGHT(BX90,2)="83","PJK","")</f>
      </c>
      <c r="CI90" s="570"/>
      <c r="CJ90" s="61">
        <f aca="true" t="shared" si="178" ref="CJ90:CJ100">IF(CH90="","",BQ91)</f>
      </c>
      <c r="CM90" s="52"/>
      <c r="CN90" s="53"/>
      <c r="CO90" s="396"/>
      <c r="CP90" s="318" t="s">
        <v>73</v>
      </c>
      <c r="CQ90" s="1341"/>
      <c r="CR90" s="1342"/>
      <c r="CS90" s="308">
        <f>COUNTA(CS61:CS85)-COUNTIF(CS61:CS83,"")</f>
        <v>0</v>
      </c>
      <c r="CT90" s="308">
        <f>COUNTA(CT61:CT85)-COUNTIF(CT61:CT83,"")</f>
        <v>0</v>
      </c>
      <c r="CU90" s="308">
        <f>COUNTA(CU61:CU85)-COUNTIF(CU61:CU83,"")</f>
        <v>0</v>
      </c>
      <c r="CV90" s="309">
        <f>COUNTA(CV61:CV85)-COUNTIF(CV61:CV83,"")</f>
        <v>0</v>
      </c>
      <c r="CW90" s="54">
        <f>SUM(CW61:CW85)</f>
        <v>4</v>
      </c>
      <c r="CX90" s="1277">
        <f>CX89+CY89</f>
        <v>0</v>
      </c>
      <c r="CY90" s="1277"/>
      <c r="CZ90" s="33"/>
      <c r="DA90" s="40">
        <f>SUM(DE61:DE85)</f>
        <v>0</v>
      </c>
      <c r="DB90" s="40">
        <f>IF(DA90=0,"","im Gk-Bereich")</f>
      </c>
      <c r="DC90" s="33"/>
      <c r="DD90" s="33"/>
      <c r="DE90" s="33"/>
      <c r="DF90" s="33"/>
      <c r="ET90" s="570"/>
      <c r="EU90" s="570"/>
      <c r="EV90" s="570"/>
      <c r="EW90" s="570"/>
      <c r="EX90" s="570"/>
      <c r="EY90" s="570"/>
      <c r="EZ90" s="570"/>
      <c r="FA90" s="324"/>
      <c r="FB90" s="324"/>
      <c r="FC90" s="324"/>
      <c r="FD90" s="324"/>
      <c r="FE90" s="324"/>
      <c r="FF90" s="324"/>
      <c r="FG90" s="324"/>
      <c r="FH90" s="324"/>
      <c r="FI90" s="324"/>
      <c r="FJ90" s="324"/>
      <c r="FK90" s="324"/>
      <c r="FL90" s="324"/>
      <c r="FM90" s="324"/>
      <c r="FN90" s="324"/>
      <c r="FO90" s="324"/>
      <c r="FP90" s="324"/>
      <c r="FQ90" s="324"/>
      <c r="FR90" s="324"/>
      <c r="FS90" s="324"/>
      <c r="FT90" s="324"/>
      <c r="FU90" s="324"/>
      <c r="FV90" s="324"/>
      <c r="FW90" s="324"/>
      <c r="FX90" s="324"/>
      <c r="FY90" s="324"/>
      <c r="FZ90" s="324"/>
      <c r="GA90" s="324"/>
      <c r="GB90" s="324"/>
      <c r="GC90" s="324"/>
      <c r="GD90" s="324"/>
      <c r="GE90" s="324"/>
      <c r="GF90" s="324"/>
    </row>
    <row r="91" spans="39:110" ht="18.75" thickBot="1">
      <c r="AM91" s="598"/>
      <c r="BK91" s="391"/>
      <c r="BM91" s="335"/>
      <c r="BN91" s="61"/>
      <c r="BO91" s="61"/>
      <c r="BP91" s="61"/>
      <c r="BQ91" s="842" t="e">
        <f t="shared" si="175"/>
        <v>#NUM!</v>
      </c>
      <c r="BR91" s="842"/>
      <c r="BS91" s="842"/>
      <c r="BT91" s="842" t="e">
        <f>IF(BQ91="","",($BP$90+SUM($BY$89:BY90))/(BQ91+8))</f>
        <v>#NUM!</v>
      </c>
      <c r="BU91" s="425" t="e">
        <f>IF(OR(BV91&lt;&gt;"",MAX($BU$89:BU90)=3,AND(RIGHT(BX91,2)=RIGHT(BX90,2),VALUE(RIGHT(BX91,2))&gt;30)),0,BU90+1)</f>
        <v>#NUM!</v>
      </c>
      <c r="BV91" s="842" t="e">
        <f>IF(BV90="","",IF(OR(COUNT($BM$61:$BP$85)+$BV90&lt;35,AND(MAX($BV$89:BV90)+$BQ$89&lt;40,AND($BQ91&lt;40,$BY91&gt;$BT91))),BV90+1,""))</f>
        <v>#NUM!</v>
      </c>
      <c r="BW91" s="842" t="s">
        <v>228</v>
      </c>
      <c r="BX91" s="842">
        <f t="shared" si="174"/>
      </c>
      <c r="BY91" s="842">
        <f t="shared" si="176"/>
      </c>
      <c r="BZ91" s="248"/>
      <c r="CA91" s="248">
        <v>3</v>
      </c>
      <c r="CB91" s="248"/>
      <c r="CC91" s="255">
        <f ca="1">IF(OR($BY91="",ISERROR(MATCH($BY91,$BW$62:$BW$85,0))=TRUE),0,IF(OR(AND(COUNTIF($BW$62:$BW$85,$BY91)=1,ISNA(MATCH(MATCH($BY91,$BW$62:$BW$85,0)+61,CC$89:CC90,0)=TRUE)),AND(COUNTIF($BW$62:$BW$85,$BY91)&gt;=2,$BY91&lt;&gt;$BY90)),MATCH($BY91,$BW$62:$BW$85,0)+61,IF(AND(COUNTIF($BW$62:$BW$85,$BY91)&gt;=2,COUNTIF(INDIRECT("CC$"&amp;MATCH($BY91,$BY$89:$BY91,0)+87):CC90,"&gt;0")&lt;COUNTIF($BW$62:$BW$85,$BY91),CC90&lt;&gt;0),MATCH($BY91,INDIRECT("BW"&amp;CC90+1):$BW$85,0)+CC90,IF(AND(COUNTIF($BW$62:$BW$85,$BY91)&gt;=2,COUNTIF(INDIRECT("CC$"&amp;MATCH($BY91,$BY$89:$BY91,0)+87):CC90,"&gt;0")&lt;COUNTIF($BW$62:$BW$85,$BY91)),MATCH($BY91,$BW$62:$BW$85,0)+61,0))))</f>
        <v>0</v>
      </c>
      <c r="CD91" s="255">
        <f ca="1">IF(OR($BY91="",CC91&lt;&gt;0,ISERROR(MATCH($BY91,$BV$62:$BV$85,0))=TRUE),0,IF(OR(AND(COUNTIF($BV$62:$BV$85,$BY91)=1,ISNA(MATCH(MATCH($BY91,$BV$62:$BV$85,0)+61,CD$89:CD90,0)=TRUE)),AND(COUNTIF($BV$62:$BV$85,$BY91)&gt;=2,$BY91&lt;&gt;$BY90)),MATCH($BY91,$BV$62:$BV$85,0)+61,IF(AND(COUNTIF($BV$62:$BV$85,$BY91)&gt;=2,COUNTIF(INDIRECT("CD$"&amp;MATCH($BY91,$BY$89:$BY91,0)+87):CD90,"&gt;0")&lt;COUNTIF($BV$62:$BV$85,$BY91),CD90&lt;&gt;0),MATCH($BY91,INDIRECT("BV"&amp;CD90+1):$BV$85,0)+CD90,IF(AND(COUNTIF($BV$62:$BV$85,$BY91)&gt;=2,COUNTIF(INDIRECT("CD$"&amp;MATCH($BY91,$BY$89:$BY91,0)+87):CD90,"&gt;0")&lt;COUNTIF($BV$62:$BV$85,$BY91)),MATCH($BY91,$BV$62:$BV$85,0)+61,0))))</f>
        <v>0</v>
      </c>
      <c r="CE91" s="255">
        <f ca="1">IF(OR($BY91="",CC91&lt;&gt;0,CD91&lt;&gt;0,ISERROR(MATCH($BY91,$BU$62:$BU$85,0))=TRUE),0,IF(OR(AND(COUNTIF($BU$62:$BU$85,$BY91)=1,ISNA(MATCH(MATCH($BY91,$BU$62:$BU$85,0)+61,CE$89:CE90,0)=TRUE)),AND(COUNTIF($BU$62:$BU$85,$BY91)&gt;=2,$BY91&lt;&gt;$BY90)),MATCH($BY91,$BU$62:$BU$85,0)+61,IF(AND(COUNTIF($BU$62:$BU$85,$BY91)&gt;=2,COUNTIF(INDIRECT("CE$"&amp;MATCH($BY91,$BY$89:$BY91,0)+87):CE90,"&gt;0")&lt;COUNTIF($BU$62:$BU$85,$BY91),CE90&lt;&gt;0),MATCH($BY91,INDIRECT("BU"&amp;CE90+1):$BU$85,0)+CE90,IF(AND(COUNTIF($BU$62:$BU$85,$BY91)&gt;=2,COUNTIF(INDIRECT("CE$"&amp;MATCH($BY91,$BY$89:$BY91,0)+87):CE90,"&gt;0")&lt;COUNTIF($BU$62:$BU$85,$BY91)),MATCH($BY91,$BU$62:BU$85,0)+61,0))))</f>
        <v>0</v>
      </c>
      <c r="CF91" s="255">
        <f ca="1">IF(OR($BY91="",CC91&lt;&gt;0,CD91&lt;&gt;0,CE91&lt;&gt;0,ISERROR(MATCH($BY91,$BT$62:$BT$85,0))=TRUE),0,IF(OR(AND(COUNTIF($BT$62:$BT$85,$BY91)=1,ISNA(MATCH(MATCH($BY91,$BT$62:$BT$85,0)+61,CF$89:CF90,0)=TRUE)),AND(COUNTIF($BT$62:$BT$85,$BY91)&gt;=2,$BY91&lt;&gt;$BY90)),MATCH($BY91,$BT$62:$BT$85,0)+61,IF(AND(COUNTIF($BT$62:$BT$85,$BY91)&gt;=2,COUNTIF(INDIRECT("CF$"&amp;MATCH($BY91,$BY$89:$BY91,0)+87):CF90,"&gt;0")&lt;COUNTIF($BT$62:$BT$85,$BY91),CF90&lt;&gt;0),MATCH($BY91,INDIRECT("BT"&amp;CF90+1):$BT$85,0)+CF90,IF(AND(COUNTIF($BT$62:$BT$85,$BY91)&gt;=2,COUNTIF(INDIRECT("CF$"&amp;MATCH($BY91,$BY$89:$BY91,0)+87):CF90,"&gt;0")&lt;COUNTIF($BT$62:$BT$85,$BY91)),MATCH($BY91,$BT$62:BT$85,0)+61,0))))</f>
        <v>0</v>
      </c>
      <c r="CG91" s="248"/>
      <c r="CH91" s="248">
        <f t="shared" si="177"/>
      </c>
      <c r="CI91" s="570"/>
      <c r="CJ91" s="61">
        <f>IF(CH91="","",BQ92)</f>
      </c>
      <c r="CM91" s="1459" t="s">
        <v>429</v>
      </c>
      <c r="CN91" s="1459"/>
      <c r="CO91" s="1459"/>
      <c r="CP91" s="1459"/>
      <c r="CQ91" s="1459"/>
      <c r="CR91" s="1459"/>
      <c r="CS91" s="1460" t="str">
        <f>CX90&amp;" : "&amp;CW89+8&amp;" ="</f>
        <v>0 : 8 =</v>
      </c>
      <c r="CT91" s="1460"/>
      <c r="CU91" s="386">
        <f>CX90/(CW89+8)</f>
        <v>0</v>
      </c>
      <c r="CV91" s="1461" t="str">
        <f>ROUND(CU91,2)&amp;" * 40 ="</f>
        <v>0 * 40 =</v>
      </c>
      <c r="CW91" s="1462"/>
      <c r="CX91" s="1463">
        <f>IF(CX90&lt;100,"",CU91*40)</f>
      </c>
      <c r="CY91" s="1463"/>
      <c r="CZ91" s="51"/>
      <c r="DA91" s="1511">
        <f ca="1">IF(ISNA(MATCH("IV",#REF!,0))=TRUE,"",IF(COUNT(INDIRECT("J"&amp;MATCH("IV",#REF!,0)+14):INDIRECT("M"&amp;MATCH("IV",#REF!,0)+14))&gt;2,"Im Orch./Chor gelten nur 2 Kurse als belegt, weitere sind reine AG's",""))</f>
      </c>
      <c r="DB91" s="1511"/>
      <c r="DC91" s="1511"/>
      <c r="DD91" s="1511"/>
      <c r="DE91" s="248"/>
      <c r="DF91" s="248"/>
    </row>
    <row r="92" spans="39:88" ht="12.75">
      <c r="AM92" s="598"/>
      <c r="BK92" s="391"/>
      <c r="BM92" s="61"/>
      <c r="BN92" s="61"/>
      <c r="BO92" s="61"/>
      <c r="BP92" s="61"/>
      <c r="BQ92" s="842" t="e">
        <f t="shared" si="175"/>
        <v>#NUM!</v>
      </c>
      <c r="BR92" s="842"/>
      <c r="BS92" s="842"/>
      <c r="BT92" s="842" t="e">
        <f>IF(BQ92="","",($BP$90+SUM($BY$89:BY91))/(BQ92+8))</f>
        <v>#NUM!</v>
      </c>
      <c r="BU92" s="425" t="e">
        <f>IF(OR(BV92&lt;&gt;"",MAX($BU$89:BU91)=3,AND(RIGHT(BX92,2)=RIGHT(BX91,2),VALUE(RIGHT(BX92,2))&gt;30)),0,BU91+1)</f>
        <v>#NUM!</v>
      </c>
      <c r="BV92" s="842" t="e">
        <f>IF(BV91="","",IF(OR(COUNT($BM$61:$BP$85)+$BV91&lt;35,AND(MAX($BV$89:BV91)+$BQ$89&lt;40,AND($BQ92&lt;40,$BY92&gt;$BT92))),BV91+1,""))</f>
        <v>#NUM!</v>
      </c>
      <c r="BW92" s="842" t="s">
        <v>229</v>
      </c>
      <c r="BX92" s="842">
        <f t="shared" si="174"/>
      </c>
      <c r="BY92" s="842">
        <f t="shared" si="176"/>
      </c>
      <c r="BZ92" s="61"/>
      <c r="CA92" s="248">
        <v>4</v>
      </c>
      <c r="CB92" s="248"/>
      <c r="CC92" s="255">
        <f ca="1">IF(OR($BY92="",ISERROR(MATCH($BY92,$BW$62:$BW$85,0))=TRUE),0,IF(OR(AND(COUNTIF($BW$62:$BW$85,$BY92)=1,ISNA(MATCH(MATCH($BY92,$BW$62:$BW$85,0)+61,CC$89:CC91,0)=TRUE)),AND(COUNTIF($BW$62:$BW$85,$BY92)&gt;=2,$BY92&lt;&gt;$BY91)),MATCH($BY92,$BW$62:$BW$85,0)+61,IF(AND(COUNTIF($BW$62:$BW$85,$BY92)&gt;=2,COUNTIF(INDIRECT("CC$"&amp;MATCH($BY92,$BY$89:$BY92,0)+87):CC91,"&gt;0")&lt;COUNTIF($BW$62:$BW$85,$BY92),CC91&lt;&gt;0),MATCH($BY92,INDIRECT("BW"&amp;CC91+1):$BW$85,0)+CC91,IF(AND(COUNTIF($BW$62:$BW$85,$BY92)&gt;=2,COUNTIF(INDIRECT("CC$"&amp;MATCH($BY92,$BY$89:$BY92,0)+87):CC91,"&gt;0")&lt;COUNTIF($BW$62:$BW$85,$BY92)),MATCH($BY92,$BW$62:$BW$85,0)+61,0))))</f>
        <v>0</v>
      </c>
      <c r="CD92" s="255">
        <f ca="1">IF(OR($BY92="",CC92&lt;&gt;0,ISERROR(MATCH($BY92,$BV$62:$BV$85,0))=TRUE),0,IF(OR(AND(COUNTIF($BV$62:$BV$85,$BY92)=1,ISNA(MATCH(MATCH($BY92,$BV$62:$BV$85,0)+61,CD$89:CD91,0)=TRUE)),AND(COUNTIF($BV$62:$BV$85,$BY92)&gt;=2,$BY92&lt;&gt;$BY91)),MATCH($BY92,$BV$62:$BV$85,0)+61,IF(AND(COUNTIF($BV$62:$BV$85,$BY92)&gt;=2,COUNTIF(INDIRECT("CD$"&amp;MATCH($BY92,$BY$89:$BY92,0)+87):CD91,"&gt;0")&lt;COUNTIF($BV$62:$BV$85,$BY92),CD91&lt;&gt;0),MATCH($BY92,INDIRECT("BV"&amp;CD91+1):$BV$85,0)+CD91,IF(AND(COUNTIF($BV$62:$BV$85,$BY92)&gt;=2,COUNTIF(INDIRECT("CD$"&amp;MATCH($BY92,$BY$89:$BY92,0)+87):CD91,"&gt;0")&lt;COUNTIF($BV$62:$BV$85,$BY92)),MATCH($BY92,$BV$62:$BV$85,0)+61,0))))</f>
        <v>0</v>
      </c>
      <c r="CE92" s="255">
        <f ca="1">IF(OR($BY92="",CC92&lt;&gt;0,CD92&lt;&gt;0,ISERROR(MATCH($BY92,$BU$62:$BU$85,0))=TRUE),0,IF(OR(AND(COUNTIF($BU$62:$BU$85,$BY92)=1,ISNA(MATCH(MATCH($BY92,$BU$62:$BU$85,0)+61,CE$89:CE91,0)=TRUE)),AND(COUNTIF($BU$62:$BU$85,$BY92)&gt;=2,$BY92&lt;&gt;$BY91)),MATCH($BY92,$BU$62:$BU$85,0)+61,IF(AND(COUNTIF($BU$62:$BU$85,$BY92)&gt;=2,COUNTIF(INDIRECT("CE$"&amp;MATCH($BY92,$BY$89:$BY92,0)+87):CE91,"&gt;0")&lt;COUNTIF($BU$62:$BU$85,$BY92),CE91&lt;&gt;0),MATCH($BY92,INDIRECT("BU"&amp;CE91+1):$BU$85,0)+CE91,IF(AND(COUNTIF($BU$62:$BU$85,$BY92)&gt;=2,COUNTIF(INDIRECT("CE$"&amp;MATCH($BY92,$BY$89:$BY92,0)+87):CE91,"&gt;0")&lt;COUNTIF($BU$62:$BU$85,$BY92)),MATCH($BY92,$BU$62:BU$85,0)+61,0))))</f>
        <v>0</v>
      </c>
      <c r="CF92" s="255">
        <f ca="1">IF(OR($BY92="",CC92&lt;&gt;0,CD92&lt;&gt;0,CE92&lt;&gt;0,ISERROR(MATCH($BY92,$BT$62:$BT$85,0))=TRUE),0,IF(OR(AND(COUNTIF($BT$62:$BT$85,$BY92)=1,ISNA(MATCH(MATCH($BY92,$BT$62:$BT$85,0)+61,CF$89:CF91,0)=TRUE)),AND(COUNTIF($BT$62:$BT$85,$BY92)&gt;=2,$BY92&lt;&gt;$BY91)),MATCH($BY92,$BT$62:$BT$85,0)+61,IF(AND(COUNTIF($BT$62:$BT$85,$BY92)&gt;=2,COUNTIF(INDIRECT("CF$"&amp;MATCH($BY92,$BY$89:$BY92,0)+87):CF91,"&gt;0")&lt;COUNTIF($BT$62:$BT$85,$BY92),CF91&lt;&gt;0),MATCH($BY92,INDIRECT("BT"&amp;CF91+1):$BT$85,0)+CF91,IF(AND(COUNTIF($BT$62:$BT$85,$BY92)&gt;=2,COUNTIF(INDIRECT("CF$"&amp;MATCH($BY92,$BY$89:$BY92,0)+87):CF91,"&gt;0")&lt;COUNTIF($BT$62:$BT$85,$BY92)),MATCH($BY92,$BT$62:BT$85,0)+61,0))))</f>
        <v>0</v>
      </c>
      <c r="CG92" s="248"/>
      <c r="CH92" s="248">
        <f t="shared" si="177"/>
      </c>
      <c r="CI92" s="570"/>
      <c r="CJ92" s="61">
        <f t="shared" si="178"/>
      </c>
    </row>
    <row r="93" spans="63:88" ht="12.75">
      <c r="BK93" s="391"/>
      <c r="BM93" s="336"/>
      <c r="BN93" s="248"/>
      <c r="BO93" s="248"/>
      <c r="BP93" s="61"/>
      <c r="BQ93" s="842" t="e">
        <f t="shared" si="175"/>
        <v>#NUM!</v>
      </c>
      <c r="BR93" s="842"/>
      <c r="BS93" s="842"/>
      <c r="BT93" s="842" t="e">
        <f>IF(BQ93="","",($BP$90+SUM($BY$89:BY92))/(BQ93+8))</f>
        <v>#NUM!</v>
      </c>
      <c r="BU93" s="425" t="e">
        <f>IF(OR(BV93&lt;&gt;"",MAX($BU$89:BU92)=3,AND(RIGHT(BX93,2)=RIGHT(BX92,2),VALUE(RIGHT(BX93,2))&gt;30)),0,BU92+1)</f>
        <v>#NUM!</v>
      </c>
      <c r="BV93" s="842" t="e">
        <f>IF(BV92="","",IF(OR(COUNT($BM$61:$BP$85)+$BV92&lt;35,AND(MAX($BV$89:BV92)+$BQ$89&lt;40,AND($BQ93&lt;40,$BY93&gt;$BT93))),BV92+1,""))</f>
        <v>#NUM!</v>
      </c>
      <c r="BW93" s="842" t="s">
        <v>230</v>
      </c>
      <c r="BX93" s="842">
        <f t="shared" si="174"/>
      </c>
      <c r="BY93" s="842">
        <f t="shared" si="176"/>
      </c>
      <c r="BZ93" s="61"/>
      <c r="CA93" s="248">
        <v>5</v>
      </c>
      <c r="CB93" s="248"/>
      <c r="CC93" s="255">
        <f ca="1">IF(OR($BY93="",ISERROR(MATCH($BY93,$BW$62:$BW$85,0))=TRUE),0,IF(OR(AND(COUNTIF($BW$62:$BW$85,$BY93)=1,ISNA(MATCH(MATCH($BY93,$BW$62:$BW$85,0)+61,CC$89:CC92,0)=TRUE)),AND(COUNTIF($BW$62:$BW$85,$BY93)&gt;=2,$BY93&lt;&gt;$BY92)),MATCH($BY93,$BW$62:$BW$85,0)+61,IF(AND(COUNTIF($BW$62:$BW$85,$BY93)&gt;=2,COUNTIF(INDIRECT("CC$"&amp;MATCH($BY93,$BY$89:$BY93,0)+87):CC92,"&gt;0")&lt;COUNTIF($BW$62:$BW$85,$BY93),CC92&lt;&gt;0),MATCH($BY93,INDIRECT("BW"&amp;CC92+1):$BW$85,0)+CC92,IF(AND(COUNTIF($BW$62:$BW$85,$BY93)&gt;=2,COUNTIF(INDIRECT("CC$"&amp;MATCH($BY93,$BY$89:$BY93,0)+87):CC92,"&gt;0")&lt;COUNTIF($BW$62:$BW$85,$BY93)),MATCH($BY93,$BW$62:$BW$85,0)+61,0))))</f>
        <v>0</v>
      </c>
      <c r="CD93" s="255">
        <f ca="1">IF(OR($BY93="",CC93&lt;&gt;0,ISERROR(MATCH($BY93,$BV$62:$BV$85,0))=TRUE),0,IF(OR(AND(COUNTIF($BV$62:$BV$85,$BY93)=1,ISNA(MATCH(MATCH($BY93,$BV$62:$BV$85,0)+61,CD$89:CD92,0)=TRUE)),AND(COUNTIF($BV$62:$BV$85,$BY93)&gt;=2,$BY93&lt;&gt;$BY92)),MATCH($BY93,$BV$62:$BV$85,0)+61,IF(AND(COUNTIF($BV$62:$BV$85,$BY93)&gt;=2,COUNTIF(INDIRECT("CD$"&amp;MATCH($BY93,$BY$89:$BY93,0)+87):CD92,"&gt;0")&lt;COUNTIF($BV$62:$BV$85,$BY93),CD92&lt;&gt;0),MATCH($BY93,INDIRECT("BV"&amp;CD92+1):$BV$85,0)+CD92,IF(AND(COUNTIF($BV$62:$BV$85,$BY93)&gt;=2,COUNTIF(INDIRECT("CD$"&amp;MATCH($BY93,$BY$89:$BY93,0)+87):CD92,"&gt;0")&lt;COUNTIF($BV$62:$BV$85,$BY93)),MATCH($BY93,$BV$62:$BV$85,0)+61,0))))</f>
        <v>0</v>
      </c>
      <c r="CE93" s="255">
        <f ca="1">IF(OR($BY93="",CC93&lt;&gt;0,CD93&lt;&gt;0,ISERROR(MATCH($BY93,$BU$62:$BU$85,0))=TRUE),0,IF(OR(AND(COUNTIF($BU$62:$BU$85,$BY93)=1,ISNA(MATCH(MATCH($BY93,$BU$62:$BU$85,0)+61,CE$89:CE92,0)=TRUE)),AND(COUNTIF($BU$62:$BU$85,$BY93)&gt;=2,$BY93&lt;&gt;$BY92)),MATCH($BY93,$BU$62:$BU$85,0)+61,IF(AND(COUNTIF($BU$62:$BU$85,$BY93)&gt;=2,COUNTIF(INDIRECT("CE$"&amp;MATCH($BY93,$BY$89:$BY93,0)+87):CE92,"&gt;0")&lt;COUNTIF($BU$62:$BU$85,$BY93),CE92&lt;&gt;0),MATCH($BY93,INDIRECT("BU"&amp;CE92+1):$BU$85,0)+CE92,IF(AND(COUNTIF($BU$62:$BU$85,$BY93)&gt;=2,COUNTIF(INDIRECT("CE$"&amp;MATCH($BY93,$BY$89:$BY93,0)+87):CE92,"&gt;0")&lt;COUNTIF($BU$62:$BU$85,$BY93)),MATCH($BY93,$BU$62:BU$85,0)+61,0))))</f>
        <v>0</v>
      </c>
      <c r="CF93" s="255">
        <f ca="1">IF(OR($BY93="",CC93&lt;&gt;0,CD93&lt;&gt;0,CE93&lt;&gt;0,ISERROR(MATCH($BY93,$BT$62:$BT$85,0))=TRUE),0,IF(OR(AND(COUNTIF($BT$62:$BT$85,$BY93)=1,ISNA(MATCH(MATCH($BY93,$BT$62:$BT$85,0)+61,CF$89:CF92,0)=TRUE)),AND(COUNTIF($BT$62:$BT$85,$BY93)&gt;=2,$BY93&lt;&gt;$BY92)),MATCH($BY93,$BT$62:$BT$85,0)+61,IF(AND(COUNTIF($BT$62:$BT$85,$BY93)&gt;=2,COUNTIF(INDIRECT("CF$"&amp;MATCH($BY93,$BY$89:$BY93,0)+87):CF92,"&gt;0")&lt;COUNTIF($BT$62:$BT$85,$BY93),CF92&lt;&gt;0),MATCH($BY93,INDIRECT("BT"&amp;CF92+1):$BT$85,0)+CF92,IF(AND(COUNTIF($BT$62:$BT$85,$BY93)&gt;=2,COUNTIF(INDIRECT("CF$"&amp;MATCH($BY93,$BY$89:$BY93,0)+87):CF92,"&gt;0")&lt;COUNTIF($BT$62:$BT$85,$BY93)),MATCH($BY93,$BT$62:BT$85,0)+61,0))))</f>
        <v>0</v>
      </c>
      <c r="CG93" s="248"/>
      <c r="CH93" s="248">
        <f t="shared" si="177"/>
      </c>
      <c r="CI93" s="570"/>
      <c r="CJ93" s="61">
        <f t="shared" si="178"/>
      </c>
    </row>
    <row r="94" spans="63:88" ht="12.75">
      <c r="BK94" s="391"/>
      <c r="BM94" s="61"/>
      <c r="BN94" s="61"/>
      <c r="BO94" s="61"/>
      <c r="BP94" s="61"/>
      <c r="BQ94" s="842" t="e">
        <f t="shared" si="175"/>
        <v>#NUM!</v>
      </c>
      <c r="BR94" s="842"/>
      <c r="BS94" s="842"/>
      <c r="BT94" s="842" t="e">
        <f>IF(BQ94="","",($BP$90+SUM($BY$89:BY93))/(BQ94+8))</f>
        <v>#NUM!</v>
      </c>
      <c r="BU94" s="425" t="e">
        <f>IF(OR(BV94&lt;&gt;"",MAX($BU$89:BU93)=3,AND(RIGHT(BX94,2)=RIGHT(BX93,2),VALUE(RIGHT(BX94,2))&gt;30)),0,BU93+1)</f>
        <v>#NUM!</v>
      </c>
      <c r="BV94" s="842" t="e">
        <f>IF(BV93="","",IF(OR(COUNT($BM$61:$BP$85)+$BV93&lt;35,AND(MAX($BV$89:BV93)+$BQ$89&lt;40,AND($BQ94&lt;40,$BY94&gt;$BT94))),BV93+1,""))</f>
        <v>#NUM!</v>
      </c>
      <c r="BW94" s="842" t="s">
        <v>231</v>
      </c>
      <c r="BX94" s="842">
        <f t="shared" si="174"/>
      </c>
      <c r="BY94" s="842">
        <f t="shared" si="176"/>
      </c>
      <c r="BZ94" s="61"/>
      <c r="CA94" s="248">
        <v>6</v>
      </c>
      <c r="CB94" s="248"/>
      <c r="CC94" s="255">
        <f ca="1">IF(OR($BY94="",ISERROR(MATCH($BY94,$BW$62:$BW$85,0))=TRUE),0,IF(OR(AND(COUNTIF($BW$62:$BW$85,$BY94)=1,ISNA(MATCH(MATCH($BY94,$BW$62:$BW$85,0)+61,CC$89:CC93,0)=TRUE)),AND(COUNTIF($BW$62:$BW$85,$BY94)&gt;=2,$BY94&lt;&gt;$BY93)),MATCH($BY94,$BW$62:$BW$85,0)+61,IF(AND(COUNTIF($BW$62:$BW$85,$BY94)&gt;=2,COUNTIF(INDIRECT("CC$"&amp;MATCH($BY94,$BY$89:$BY94,0)+87):CC93,"&gt;0")&lt;COUNTIF($BW$62:$BW$85,$BY94),CC93&lt;&gt;0),MATCH($BY94,INDIRECT("BW"&amp;CC93+1):$BW$85,0)+CC93,IF(AND(COUNTIF($BW$62:$BW$85,$BY94)&gt;=2,COUNTIF(INDIRECT("CC$"&amp;MATCH($BY94,$BY$89:$BY94,0)+87):CC93,"&gt;0")&lt;COUNTIF($BW$62:$BW$85,$BY94)),MATCH($BY94,$BW$62:$BW$85,0)+61,0))))</f>
        <v>0</v>
      </c>
      <c r="CD94" s="255">
        <f ca="1">IF(OR($BY94="",CC94&lt;&gt;0,ISERROR(MATCH($BY94,$BV$62:$BV$85,0))=TRUE),0,IF(OR(AND(COUNTIF($BV$62:$BV$85,$BY94)=1,ISNA(MATCH(MATCH($BY94,$BV$62:$BV$85,0)+61,CD$89:CD93,0)=TRUE)),AND(COUNTIF($BV$62:$BV$85,$BY94)&gt;=2,$BY94&lt;&gt;$BY93)),MATCH($BY94,$BV$62:$BV$85,0)+61,IF(AND(COUNTIF($BV$62:$BV$85,$BY94)&gt;=2,COUNTIF(INDIRECT("CD$"&amp;MATCH($BY94,$BY$89:$BY94,0)+87):CD93,"&gt;0")&lt;COUNTIF($BV$62:$BV$85,$BY94),CD93&lt;&gt;0),MATCH($BY94,INDIRECT("BV"&amp;CD93+1):$BV$85,0)+CD93,IF(AND(COUNTIF($BV$62:$BV$85,$BY94)&gt;=2,COUNTIF(INDIRECT("CD$"&amp;MATCH($BY94,$BY$89:$BY94,0)+87):CD93,"&gt;0")&lt;COUNTIF($BV$62:$BV$85,$BY94)),MATCH($BY94,$BV$62:$BV$85,0)+61,0))))</f>
        <v>0</v>
      </c>
      <c r="CE94" s="255">
        <f ca="1">IF(OR($BY94="",CC94&lt;&gt;0,CD94&lt;&gt;0,ISERROR(MATCH($BY94,$BU$62:$BU$85,0))=TRUE),0,IF(OR(AND(COUNTIF($BU$62:$BU$85,$BY94)=1,ISNA(MATCH(MATCH($BY94,$BU$62:$BU$85,0)+61,CE$89:CE93,0)=TRUE)),AND(COUNTIF($BU$62:$BU$85,$BY94)&gt;=2,$BY94&lt;&gt;$BY93)),MATCH($BY94,$BU$62:$BU$85,0)+61,IF(AND(COUNTIF($BU$62:$BU$85,$BY94)&gt;=2,COUNTIF(INDIRECT("CE$"&amp;MATCH($BY94,$BY$89:$BY94,0)+87):CE93,"&gt;0")&lt;COUNTIF($BU$62:$BU$85,$BY94),CE93&lt;&gt;0),MATCH($BY94,INDIRECT("BU"&amp;CE93+1):$BU$85,0)+CE93,IF(AND(COUNTIF($BU$62:$BU$85,$BY94)&gt;=2,COUNTIF(INDIRECT("CE$"&amp;MATCH($BY94,$BY$89:$BY94,0)+87):CE93,"&gt;0")&lt;COUNTIF($BU$62:$BU$85,$BY94)),MATCH($BY94,$BU$62:BU$85,0)+61,0))))</f>
        <v>0</v>
      </c>
      <c r="CF94" s="255">
        <f ca="1">IF(OR($BY94="",CC94&lt;&gt;0,CD94&lt;&gt;0,CE94&lt;&gt;0,ISERROR(MATCH($BY94,$BT$62:$BT$85,0))=TRUE),0,IF(OR(AND(COUNTIF($BT$62:$BT$85,$BY94)=1,ISNA(MATCH(MATCH($BY94,$BT$62:$BT$85,0)+61,CF$89:CF93,0)=TRUE)),AND(COUNTIF($BT$62:$BT$85,$BY94)&gt;=2,$BY94&lt;&gt;$BY93)),MATCH($BY94,$BT$62:$BT$85,0)+61,IF(AND(COUNTIF($BT$62:$BT$85,$BY94)&gt;=2,COUNTIF(INDIRECT("CF$"&amp;MATCH($BY94,$BY$89:$BY94,0)+87):CF93,"&gt;0")&lt;COUNTIF($BT$62:$BT$85,$BY94),CF93&lt;&gt;0),MATCH($BY94,INDIRECT("BT"&amp;CF93+1):$BT$85,0)+CF93,IF(AND(COUNTIF($BT$62:$BT$85,$BY94)&gt;=2,COUNTIF(INDIRECT("CF$"&amp;MATCH($BY94,$BY$89:$BY94,0)+87):CF93,"&gt;0")&lt;COUNTIF($BT$62:$BT$85,$BY94)),MATCH($BY94,$BT$62:BT$85,0)+61,0))))</f>
        <v>0</v>
      </c>
      <c r="CG94" s="248"/>
      <c r="CH94" s="248">
        <f t="shared" si="177"/>
      </c>
      <c r="CI94" s="570"/>
      <c r="CJ94" s="61">
        <f t="shared" si="178"/>
      </c>
    </row>
    <row r="95" spans="63:88" ht="12.75">
      <c r="BK95" s="391"/>
      <c r="BM95" s="61"/>
      <c r="BN95" s="61"/>
      <c r="BO95" s="61"/>
      <c r="BP95" s="61"/>
      <c r="BQ95" s="842" t="e">
        <f t="shared" si="175"/>
        <v>#NUM!</v>
      </c>
      <c r="BR95" s="842"/>
      <c r="BS95" s="842"/>
      <c r="BT95" s="842" t="e">
        <f>IF(BQ95="","",($BP$90+SUM($BY$89:BY94))/(BQ95+8))</f>
        <v>#NUM!</v>
      </c>
      <c r="BU95" s="425" t="e">
        <f>IF(OR(BV95&lt;&gt;"",MAX($BU$89:BU94)=3,AND(RIGHT(BX95,2)=RIGHT(BX94,2),VALUE(RIGHT(BX95,2))&gt;30)),0,BU94+1)</f>
        <v>#NUM!</v>
      </c>
      <c r="BV95" s="842" t="e">
        <f>IF(BV94="","",IF(OR(COUNT($BM$61:$BP$85)+$BV94&lt;35,AND(MAX($BV$89:BV94)+$BQ$89&lt;40,AND($BQ95&lt;40,$BY95&gt;$BT95))),BV94+1,""))</f>
        <v>#NUM!</v>
      </c>
      <c r="BW95" s="842" t="s">
        <v>232</v>
      </c>
      <c r="BX95" s="842">
        <f t="shared" si="174"/>
      </c>
      <c r="BY95" s="842">
        <f t="shared" si="176"/>
      </c>
      <c r="BZ95" s="61"/>
      <c r="CA95" s="248">
        <v>7</v>
      </c>
      <c r="CB95" s="248"/>
      <c r="CC95" s="255">
        <f ca="1">IF(OR($BY95="",ISERROR(MATCH($BY95,$BW$62:$BW$85,0))=TRUE),0,IF(OR(AND(COUNTIF($BW$62:$BW$85,$BY95)=1,ISNA(MATCH(MATCH($BY95,$BW$62:$BW$85,0)+61,CC$89:CC94,0)=TRUE)),AND(COUNTIF($BW$62:$BW$85,$BY95)&gt;=2,$BY95&lt;&gt;$BY94)),MATCH($BY95,$BW$62:$BW$85,0)+61,IF(AND(COUNTIF($BW$62:$BW$85,$BY95)&gt;=2,COUNTIF(INDIRECT("CC$"&amp;MATCH($BY95,$BY$89:$BY95,0)+87):CC94,"&gt;0")&lt;COUNTIF($BW$62:$BW$85,$BY95),CC94&lt;&gt;0),MATCH($BY95,INDIRECT("BW"&amp;CC94+1):$BW$85,0)+CC94,IF(AND(COUNTIF($BW$62:$BW$85,$BY95)&gt;=2,COUNTIF(INDIRECT("CC$"&amp;MATCH($BY95,$BY$89:$BY95,0)+87):CC94,"&gt;0")&lt;COUNTIF($BW$62:$BW$85,$BY95)),MATCH($BY95,$BW$62:$BW$85,0)+61,0))))</f>
        <v>0</v>
      </c>
      <c r="CD95" s="255">
        <f ca="1">IF(OR($BY95="",CC95&lt;&gt;0,ISERROR(MATCH($BY95,$BV$62:$BV$85,0))=TRUE),0,IF(OR(AND(COUNTIF($BV$62:$BV$85,$BY95)=1,ISNA(MATCH(MATCH($BY95,$BV$62:$BV$85,0)+61,CD$89:CD94,0)=TRUE)),AND(COUNTIF($BV$62:$BV$85,$BY95)&gt;=2,$BY95&lt;&gt;$BY94)),MATCH($BY95,$BV$62:$BV$85,0)+61,IF(AND(COUNTIF($BV$62:$BV$85,$BY95)&gt;=2,COUNTIF(INDIRECT("CD$"&amp;MATCH($BY95,$BY$89:$BY95,0)+87):CD94,"&gt;0")&lt;COUNTIF($BV$62:$BV$85,$BY95),CD94&lt;&gt;0),MATCH($BY95,INDIRECT("BV"&amp;CD94+1):$BV$85,0)+CD94,IF(AND(COUNTIF($BV$62:$BV$85,$BY95)&gt;=2,COUNTIF(INDIRECT("CD$"&amp;MATCH($BY95,$BY$89:$BY95,0)+87):CD94,"&gt;0")&lt;COUNTIF($BV$62:$BV$85,$BY95)),MATCH($BY95,$BV$62:$BV$85,0)+61,0))))</f>
        <v>0</v>
      </c>
      <c r="CE95" s="255">
        <f ca="1">IF(OR($BY95="",CC95&lt;&gt;0,CD95&lt;&gt;0,ISERROR(MATCH($BY95,$BU$62:$BU$85,0))=TRUE),0,IF(OR(AND(COUNTIF($BU$62:$BU$85,$BY95)=1,ISNA(MATCH(MATCH($BY95,$BU$62:$BU$85,0)+61,CE$89:CE94,0)=TRUE)),AND(COUNTIF($BU$62:$BU$85,$BY95)&gt;=2,$BY95&lt;&gt;$BY94)),MATCH($BY95,$BU$62:$BU$85,0)+61,IF(AND(COUNTIF($BU$62:$BU$85,$BY95)&gt;=2,COUNTIF(INDIRECT("CE$"&amp;MATCH($BY95,$BY$89:$BY95,0)+87):CE94,"&gt;0")&lt;COUNTIF($BU$62:$BU$85,$BY95),CE94&lt;&gt;0),MATCH($BY95,INDIRECT("BU"&amp;CE94+1):$BU$85,0)+CE94,IF(AND(COUNTIF($BU$62:$BU$85,$BY95)&gt;=2,COUNTIF(INDIRECT("CE$"&amp;MATCH($BY95,$BY$89:$BY95,0)+87):CE94,"&gt;0")&lt;COUNTIF($BU$62:$BU$85,$BY95)),MATCH($BY95,$BU$62:BU$85,0)+61,0))))</f>
        <v>0</v>
      </c>
      <c r="CF95" s="255">
        <f ca="1">IF(OR($BY95="",CC95&lt;&gt;0,CD95&lt;&gt;0,CE95&lt;&gt;0,ISERROR(MATCH($BY95,$BT$62:$BT$85,0))=TRUE),0,IF(OR(AND(COUNTIF($BT$62:$BT$85,$BY95)=1,ISNA(MATCH(MATCH($BY95,$BT$62:$BT$85,0)+61,CF$89:CF94,0)=TRUE)),AND(COUNTIF($BT$62:$BT$85,$BY95)&gt;=2,$BY95&lt;&gt;$BY94)),MATCH($BY95,$BT$62:$BT$85,0)+61,IF(AND(COUNTIF($BT$62:$BT$85,$BY95)&gt;=2,COUNTIF(INDIRECT("CF$"&amp;MATCH($BY95,$BY$89:$BY95,0)+87):CF94,"&gt;0")&lt;COUNTIF($BT$62:$BT$85,$BY95),CF94&lt;&gt;0),MATCH($BY95,INDIRECT("BT"&amp;CF94+1):$BT$85,0)+CF94,IF(AND(COUNTIF($BT$62:$BT$85,$BY95)&gt;=2,COUNTIF(INDIRECT("CF$"&amp;MATCH($BY95,$BY$89:$BY95,0)+87):CF94,"&gt;0")&lt;COUNTIF($BT$62:$BT$85,$BY95)),MATCH($BY95,$BT$62:BT$85,0)+61,0))))</f>
        <v>0</v>
      </c>
      <c r="CG95" s="248"/>
      <c r="CH95" s="248">
        <f t="shared" si="177"/>
      </c>
      <c r="CI95" s="570"/>
      <c r="CJ95" s="61">
        <f t="shared" si="178"/>
      </c>
    </row>
    <row r="96" spans="63:88" ht="12.75">
      <c r="BK96" s="391"/>
      <c r="BM96" s="61"/>
      <c r="BN96" s="61"/>
      <c r="BO96" s="61"/>
      <c r="BP96" s="61"/>
      <c r="BQ96" s="842" t="e">
        <f>IF(OR(AND(BV95&lt;&gt;"",BQ95&lt;40),BQ95&lt;35),BQ95+1,"")</f>
        <v>#NUM!</v>
      </c>
      <c r="BR96" s="842"/>
      <c r="BS96" s="842"/>
      <c r="BT96" s="842" t="e">
        <f>IF(BQ96="","",($BP$90+SUM($BY$89:BY95))/(BQ96+8))</f>
        <v>#NUM!</v>
      </c>
      <c r="BU96" s="425" t="e">
        <f>IF(OR(BV96&lt;&gt;"",MAX($BU$89:BU95)=3,AND(RIGHT(BX96,2)=RIGHT(BX95,2),VALUE(RIGHT(BX96,2))&gt;30)),0,BU95+1)</f>
        <v>#NUM!</v>
      </c>
      <c r="BV96" s="842" t="e">
        <f>IF(BV95="","",IF(OR(COUNT($BM$61:$BP$85)+$BV95&lt;35,AND(MAX($BV$89:BV95)+$BQ$89&lt;40,AND($BQ96&lt;40,$BY96&gt;$BT96))),BV95+1,""))</f>
        <v>#NUM!</v>
      </c>
      <c r="BW96" s="842" t="s">
        <v>233</v>
      </c>
      <c r="BX96" s="842">
        <f t="shared" si="174"/>
      </c>
      <c r="BY96" s="842">
        <f t="shared" si="176"/>
      </c>
      <c r="BZ96" s="61"/>
      <c r="CA96" s="248">
        <v>8</v>
      </c>
      <c r="CB96" s="248"/>
      <c r="CC96" s="255">
        <f ca="1">IF(OR($BY96="",ISERROR(MATCH($BY96,$BW$62:$BW$85,0))=TRUE),0,IF(OR(AND(COUNTIF($BW$62:$BW$85,$BY96)=1,ISNA(MATCH(MATCH($BY96,$BW$62:$BW$85,0)+61,CC$89:CC95,0)=TRUE)),AND(COUNTIF($BW$62:$BW$85,$BY96)&gt;=2,$BY96&lt;&gt;$BY95)),MATCH($BY96,$BW$62:$BW$85,0)+61,IF(AND(COUNTIF($BW$62:$BW$85,$BY96)&gt;=2,COUNTIF(INDIRECT("CC$"&amp;MATCH($BY96,$BY$89:$BY96,0)+87):CC95,"&gt;0")&lt;COUNTIF($BW$62:$BW$85,$BY96),CC95&lt;&gt;0),MATCH($BY96,INDIRECT("BW"&amp;CC95+1):$BW$85,0)+CC95,IF(AND(COUNTIF($BW$62:$BW$85,$BY96)&gt;=2,COUNTIF(INDIRECT("CC$"&amp;MATCH($BY96,$BY$89:$BY96,0)+87):CC95,"&gt;0")&lt;COUNTIF($BW$62:$BW$85,$BY96)),MATCH($BY96,$BW$62:$BW$85,0)+61,0))))</f>
        <v>0</v>
      </c>
      <c r="CD96" s="255">
        <f ca="1">IF(OR($BY96="",CC96&lt;&gt;0,ISERROR(MATCH($BY96,$BV$62:$BV$85,0))=TRUE),0,IF(OR(AND(COUNTIF($BV$62:$BV$85,$BY96)=1,ISNA(MATCH(MATCH($BY96,$BV$62:$BV$85,0)+61,CD$89:CD95,0)=TRUE)),AND(COUNTIF($BV$62:$BV$85,$BY96)&gt;=2,$BY96&lt;&gt;$BY95)),MATCH($BY96,$BV$62:$BV$85,0)+61,IF(AND(COUNTIF($BV$62:$BV$85,$BY96)&gt;=2,COUNTIF(INDIRECT("CD$"&amp;MATCH($BY96,$BY$89:$BY96,0)+87):CD95,"&gt;0")&lt;COUNTIF($BV$62:$BV$85,$BY96),CD95&lt;&gt;0),MATCH($BY96,INDIRECT("BV"&amp;CD95+1):$BV$85,0)+CD95,IF(AND(COUNTIF($BV$62:$BV$85,$BY96)&gt;=2,COUNTIF(INDIRECT("CD$"&amp;MATCH($BY96,$BY$89:$BY96,0)+87):CD95,"&gt;0")&lt;COUNTIF($BV$62:$BV$85,$BY96)),MATCH($BY96,$BV$62:$BV$85,0)+61,0))))</f>
        <v>0</v>
      </c>
      <c r="CE96" s="255">
        <f ca="1">IF(OR($BY96="",CC96&lt;&gt;0,CD96&lt;&gt;0,ISERROR(MATCH($BY96,$BU$62:$BU$85,0))=TRUE),0,IF(OR(AND(COUNTIF($BU$62:$BU$85,$BY96)=1,ISNA(MATCH(MATCH($BY96,$BU$62:$BU$85,0)+61,CE$89:CE95,0)=TRUE)),AND(COUNTIF($BU$62:$BU$85,$BY96)&gt;=2,$BY96&lt;&gt;$BY95)),MATCH($BY96,$BU$62:$BU$85,0)+61,IF(AND(COUNTIF($BU$62:$BU$85,$BY96)&gt;=2,COUNTIF(INDIRECT("CE$"&amp;MATCH($BY96,$BY$89:$BY96,0)+87):CE95,"&gt;0")&lt;COUNTIF($BU$62:$BU$85,$BY96),CE95&lt;&gt;0),MATCH($BY96,INDIRECT("BU"&amp;CE95+1):$BU$85,0)+CE95,IF(AND(COUNTIF($BU$62:$BU$85,$BY96)&gt;=2,COUNTIF(INDIRECT("CE$"&amp;MATCH($BY96,$BY$89:$BY96,0)+87):CE95,"&gt;0")&lt;COUNTIF($BU$62:$BU$85,$BY96)),MATCH($BY96,$BU$62:BU$85,0)+61,0))))</f>
        <v>0</v>
      </c>
      <c r="CF96" s="255">
        <f ca="1">IF(OR($BY96="",CC96&lt;&gt;0,CD96&lt;&gt;0,CE96&lt;&gt;0,ISERROR(MATCH($BY96,$BT$62:$BT$85,0))=TRUE),0,IF(OR(AND(COUNTIF($BT$62:$BT$85,$BY96)=1,ISNA(MATCH(MATCH($BY96,$BT$62:$BT$85,0)+61,CF$89:CF95,0)=TRUE)),AND(COUNTIF($BT$62:$BT$85,$BY96)&gt;=2,$BY96&lt;&gt;$BY95)),MATCH($BY96,$BT$62:$BT$85,0)+61,IF(AND(COUNTIF($BT$62:$BT$85,$BY96)&gt;=2,COUNTIF(INDIRECT("CF$"&amp;MATCH($BY96,$BY$89:$BY96,0)+87):CF95,"&gt;0")&lt;COUNTIF($BT$62:$BT$85,$BY96),CF95&lt;&gt;0),MATCH($BY96,INDIRECT("BT"&amp;CF95+1):$BT$85,0)+CF95,IF(AND(COUNTIF($BT$62:$BT$85,$BY96)&gt;=2,COUNTIF(INDIRECT("CF$"&amp;MATCH($BY96,$BY$89:$BY96,0)+87):CF95,"&gt;0")&lt;COUNTIF($BT$62:$BT$85,$BY96)),MATCH($BY96,$BT$62:BT$85,0)+61,0))))</f>
        <v>0</v>
      </c>
      <c r="CG96" s="248"/>
      <c r="CH96" s="248">
        <f t="shared" si="177"/>
      </c>
      <c r="CI96" s="570"/>
      <c r="CJ96" s="61">
        <f t="shared" si="178"/>
      </c>
    </row>
    <row r="97" spans="63:88" ht="12.75">
      <c r="BK97" s="391"/>
      <c r="BM97" s="61"/>
      <c r="BN97" s="61"/>
      <c r="BO97" s="61"/>
      <c r="BP97" s="61"/>
      <c r="BQ97" s="842" t="e">
        <f>IF(OR(AND(BV96&lt;&gt;"",BQ96&lt;40),BQ96&lt;35),BQ96+1,"")</f>
        <v>#NUM!</v>
      </c>
      <c r="BR97" s="842"/>
      <c r="BS97" s="842"/>
      <c r="BT97" s="842" t="e">
        <f>IF(BQ97="","",($BP$90+SUM($BY$89:BY96))/(BQ97+8))</f>
        <v>#NUM!</v>
      </c>
      <c r="BU97" s="425" t="e">
        <f>IF(OR(BV97&lt;&gt;"",MAX($BU$89:BU96)=3,AND(RIGHT(BX97,2)=RIGHT(BX96,2),VALUE(RIGHT(BX97,2))&gt;30)),0,BU96+1)</f>
        <v>#NUM!</v>
      </c>
      <c r="BV97" s="842" t="e">
        <f>IF(BV96="","",IF(OR(COUNT($BM$61:$BP$85)+$BV96&lt;35,AND(MAX($BV$89:BV96)+$BQ$89&lt;40,AND($BQ97&lt;40,$BY97&gt;$BT97))),BV96+1,""))</f>
        <v>#NUM!</v>
      </c>
      <c r="BW97" s="842" t="s">
        <v>234</v>
      </c>
      <c r="BX97" s="842">
        <f t="shared" si="174"/>
      </c>
      <c r="BY97" s="842">
        <f t="shared" si="176"/>
      </c>
      <c r="BZ97" s="61"/>
      <c r="CA97" s="248">
        <v>9</v>
      </c>
      <c r="CB97" s="248"/>
      <c r="CC97" s="255">
        <f ca="1">IF(OR($BY97="",ISERROR(MATCH($BY97,$BW$62:$BW$85,0))=TRUE),0,IF(OR(AND(COUNTIF($BW$62:$BW$85,$BY97)=1,ISNA(MATCH(MATCH($BY97,$BW$62:$BW$85,0)+61,CC$89:CC96,0)=TRUE)),AND(COUNTIF($BW$62:$BW$85,$BY97)&gt;=2,$BY97&lt;&gt;$BY96)),MATCH($BY97,$BW$62:$BW$85,0)+61,IF(AND(COUNTIF($BW$62:$BW$85,$BY97)&gt;=2,COUNTIF(INDIRECT("CC$"&amp;MATCH($BY97,$BY$89:$BY97,0)+87):CC96,"&gt;0")&lt;COUNTIF($BW$62:$BW$85,$BY97),CC96&lt;&gt;0),MATCH($BY97,INDIRECT("BW"&amp;CC96+1):$BW$85,0)+CC96,IF(AND(COUNTIF($BW$62:$BW$85,$BY97)&gt;=2,COUNTIF(INDIRECT("CC$"&amp;MATCH($BY97,$BY$89:$BY97,0)+87):CC96,"&gt;0")&lt;COUNTIF($BW$62:$BW$85,$BY97)),MATCH($BY97,$BW$62:$BW$85,0)+61,0))))</f>
        <v>0</v>
      </c>
      <c r="CD97" s="255">
        <f ca="1">IF(OR($BY97="",CC97&lt;&gt;0,ISERROR(MATCH($BY97,$BV$62:$BV$85,0))=TRUE),0,IF(OR(AND(COUNTIF($BV$62:$BV$85,$BY97)=1,ISNA(MATCH(MATCH($BY97,$BV$62:$BV$85,0)+61,CD$89:CD96,0)=TRUE)),AND(COUNTIF($BV$62:$BV$85,$BY97)&gt;=2,$BY97&lt;&gt;$BY96)),MATCH($BY97,$BV$62:$BV$85,0)+61,IF(AND(COUNTIF($BV$62:$BV$85,$BY97)&gt;=2,COUNTIF(INDIRECT("CD$"&amp;MATCH($BY97,$BY$89:$BY97,0)+87):CD96,"&gt;0")&lt;COUNTIF($BV$62:$BV$85,$BY97),CD96&lt;&gt;0),MATCH($BY97,INDIRECT("BV"&amp;CD96+1):$BV$85,0)+CD96,IF(AND(COUNTIF($BV$62:$BV$85,$BY97)&gt;=2,COUNTIF(INDIRECT("CD$"&amp;MATCH($BY97,$BY$89:$BY97,0)+87):CD96,"&gt;0")&lt;COUNTIF($BV$62:$BV$85,$BY97)),MATCH($BY97,$BV$62:$BV$85,0)+61,0))))</f>
        <v>0</v>
      </c>
      <c r="CE97" s="255">
        <f ca="1">IF(OR($BY97="",CC97&lt;&gt;0,CD97&lt;&gt;0,ISERROR(MATCH($BY97,$BU$62:$BU$85,0))=TRUE),0,IF(OR(AND(COUNTIF($BU$62:$BU$85,$BY97)=1,ISNA(MATCH(MATCH($BY97,$BU$62:$BU$85,0)+61,CE$89:CE96,0)=TRUE)),AND(COUNTIF($BU$62:$BU$85,$BY97)&gt;=2,$BY97&lt;&gt;$BY96)),MATCH($BY97,$BU$62:$BU$85,0)+61,IF(AND(COUNTIF($BU$62:$BU$85,$BY97)&gt;=2,COUNTIF(INDIRECT("CE$"&amp;MATCH($BY97,$BY$89:$BY97,0)+87):CE96,"&gt;0")&lt;COUNTIF($BU$62:$BU$85,$BY97),CE96&lt;&gt;0),MATCH($BY97,INDIRECT("BU"&amp;CE96+1):$BU$85,0)+CE96,IF(AND(COUNTIF($BU$62:$BU$85,$BY97)&gt;=2,COUNTIF(INDIRECT("CE$"&amp;MATCH($BY97,$BY$89:$BY97,0)+87):CE96,"&gt;0")&lt;COUNTIF($BU$62:$BU$85,$BY97)),MATCH($BY97,$BU$62:BU$85,0)+61,0))))</f>
        <v>0</v>
      </c>
      <c r="CF97" s="255">
        <f ca="1">IF(OR($BY97="",CC97&lt;&gt;0,CD97&lt;&gt;0,CE97&lt;&gt;0,ISERROR(MATCH($BY97,$BT$62:$BT$85,0))=TRUE),0,IF(OR(AND(COUNTIF($BT$62:$BT$85,$BY97)=1,ISNA(MATCH(MATCH($BY97,$BT$62:$BT$85,0)+61,CF$89:CF96,0)=TRUE)),AND(COUNTIF($BT$62:$BT$85,$BY97)&gt;=2,$BY97&lt;&gt;$BY96)),MATCH($BY97,$BT$62:$BT$85,0)+61,IF(AND(COUNTIF($BT$62:$BT$85,$BY97)&gt;=2,COUNTIF(INDIRECT("CF$"&amp;MATCH($BY97,$BY$89:$BY97,0)+87):CF96,"&gt;0")&lt;COUNTIF($BT$62:$BT$85,$BY97),CF96&lt;&gt;0),MATCH($BY97,INDIRECT("BT"&amp;CF96+1):$BT$85,0)+CF96,IF(AND(COUNTIF($BT$62:$BT$85,$BY97)&gt;=2,COUNTIF(INDIRECT("CF$"&amp;MATCH($BY97,$BY$89:$BY97,0)+87):CF96,"&gt;0")&lt;COUNTIF($BT$62:$BT$85,$BY97)),MATCH($BY97,$BT$62:BT$85,0)+61,0))))</f>
        <v>0</v>
      </c>
      <c r="CG97" s="248"/>
      <c r="CH97" s="248">
        <f t="shared" si="177"/>
      </c>
      <c r="CI97" s="570"/>
      <c r="CJ97" s="61">
        <f t="shared" si="178"/>
      </c>
    </row>
    <row r="98" spans="63:88" ht="12.75">
      <c r="BK98" s="391"/>
      <c r="BM98" s="61"/>
      <c r="BN98" s="61"/>
      <c r="BO98" s="61"/>
      <c r="BP98" s="61"/>
      <c r="BQ98" s="842" t="e">
        <f>IF(OR(AND(BV97&lt;&gt;"",BQ97&lt;40),BQ97&lt;35),BQ97+1,"")</f>
        <v>#NUM!</v>
      </c>
      <c r="BR98" s="842"/>
      <c r="BS98" s="842"/>
      <c r="BT98" s="842" t="e">
        <f>IF(BQ98="","",($BP$90+SUM($BY$89:BY97))/(BQ98+8))</f>
        <v>#NUM!</v>
      </c>
      <c r="BU98" s="425" t="e">
        <f>IF(OR(BV98&lt;&gt;"",MAX($BU$89:BU97)=3,AND(RIGHT(BX98,2)=RIGHT(BX97,2),VALUE(RIGHT(BX98,2))&gt;30)),0,BU97+1)</f>
        <v>#NUM!</v>
      </c>
      <c r="BV98" s="842" t="e">
        <f>IF(BV97="","",IF(OR(COUNT($BM$61:$BP$85)+$BV97&lt;35,AND(MAX($BV$89:BV97)+$BQ$89&lt;40,AND($BQ98&lt;40,$BY98&gt;$BT98))),BV97+1,""))</f>
        <v>#NUM!</v>
      </c>
      <c r="BW98" s="842" t="s">
        <v>235</v>
      </c>
      <c r="BX98" s="842">
        <f t="shared" si="174"/>
      </c>
      <c r="BY98" s="842">
        <f t="shared" si="176"/>
      </c>
      <c r="BZ98" s="61"/>
      <c r="CA98" s="248">
        <v>10</v>
      </c>
      <c r="CB98" s="248"/>
      <c r="CC98" s="255">
        <f ca="1">IF(OR($BY98="",ISERROR(MATCH($BY98,$BW$62:$BW$85,0))=TRUE),0,IF(OR(AND(COUNTIF($BW$62:$BW$85,$BY98)=1,ISNA(MATCH(MATCH($BY98,$BW$62:$BW$85,0)+61,CC$89:CC97,0)=TRUE)),AND(COUNTIF($BW$62:$BW$85,$BY98)&gt;=2,$BY98&lt;&gt;$BY97)),MATCH($BY98,$BW$62:$BW$85,0)+61,IF(AND(COUNTIF($BW$62:$BW$85,$BY98)&gt;=2,COUNTIF(INDIRECT("CC$"&amp;MATCH($BY98,$BY$89:$BY98,0)+87):CC97,"&gt;0")&lt;COUNTIF($BW$62:$BW$85,$BY98),CC97&lt;&gt;0),MATCH($BY98,INDIRECT("BW"&amp;CC97+1):$BW$85,0)+CC97,IF(AND(COUNTIF($BW$62:$BW$85,$BY98)&gt;=2,COUNTIF(INDIRECT("CC$"&amp;MATCH($BY98,$BY$89:$BY98,0)+87):CC97,"&gt;0")&lt;COUNTIF($BW$62:$BW$85,$BY98)),MATCH($BY98,$BW$62:$BW$85,0)+61,0))))</f>
        <v>0</v>
      </c>
      <c r="CD98" s="255">
        <f ca="1">IF(OR($BY98="",CC98&lt;&gt;0,ISERROR(MATCH($BY98,$BV$62:$BV$85,0))=TRUE),0,IF(OR(AND(COUNTIF($BV$62:$BV$85,$BY98)=1,ISNA(MATCH(MATCH($BY98,$BV$62:$BV$85,0)+61,CD$89:CD97,0)=TRUE)),AND(COUNTIF($BV$62:$BV$85,$BY98)&gt;=2,$BY98&lt;&gt;$BY97)),MATCH($BY98,$BV$62:$BV$85,0)+61,IF(AND(COUNTIF($BV$62:$BV$85,$BY98)&gt;=2,COUNTIF(INDIRECT("CD$"&amp;MATCH($BY98,$BY$89:$BY98,0)+87):CD97,"&gt;0")&lt;COUNTIF($BV$62:$BV$85,$BY98),CD97&lt;&gt;0),MATCH($BY98,INDIRECT("BV"&amp;CD97+1):$BV$85,0)+CD97,IF(AND(COUNTIF($BV$62:$BV$85,$BY98)&gt;=2,COUNTIF(INDIRECT("CD$"&amp;MATCH($BY98,$BY$89:$BY98,0)+87):CD97,"&gt;0")&lt;COUNTIF($BV$62:$BV$85,$BY98)),MATCH($BY98,$BV$62:$BV$85,0)+61,0))))</f>
        <v>0</v>
      </c>
      <c r="CE98" s="255">
        <f ca="1">IF(OR($BY98="",CC98&lt;&gt;0,CD98&lt;&gt;0,ISERROR(MATCH($BY98,$BU$62:$BU$85,0))=TRUE),0,IF(OR(AND(COUNTIF($BU$62:$BU$85,$BY98)=1,ISNA(MATCH(MATCH($BY98,$BU$62:$BU$85,0)+61,CE$89:CE97,0)=TRUE)),AND(COUNTIF($BU$62:$BU$85,$BY98)&gt;=2,$BY98&lt;&gt;$BY97)),MATCH($BY98,$BU$62:$BU$85,0)+61,IF(AND(COUNTIF($BU$62:$BU$85,$BY98)&gt;=2,COUNTIF(INDIRECT("CE$"&amp;MATCH($BY98,$BY$89:$BY98,0)+87):CE97,"&gt;0")&lt;COUNTIF($BU$62:$BU$85,$BY98),CE97&lt;&gt;0),MATCH($BY98,INDIRECT("BU"&amp;CE97+1):$BU$85,0)+CE97,IF(AND(COUNTIF($BU$62:$BU$85,$BY98)&gt;=2,COUNTIF(INDIRECT("CE$"&amp;MATCH($BY98,$BY$89:$BY98,0)+87):CE97,"&gt;0")&lt;COUNTIF($BU$62:$BU$85,$BY98)),MATCH($BY98,$BU$62:BU$85,0)+61,0))))</f>
        <v>0</v>
      </c>
      <c r="CF98" s="255">
        <f ca="1">IF(OR($BY98="",CC98&lt;&gt;0,CD98&lt;&gt;0,CE98&lt;&gt;0,ISERROR(MATCH($BY98,$BT$62:$BT$85,0))=TRUE),0,IF(OR(AND(COUNTIF($BT$62:$BT$85,$BY98)=1,ISNA(MATCH(MATCH($BY98,$BT$62:$BT$85,0)+61,CF$89:CF97,0)=TRUE)),AND(COUNTIF($BT$62:$BT$85,$BY98)&gt;=2,$BY98&lt;&gt;$BY97)),MATCH($BY98,$BT$62:$BT$85,0)+61,IF(AND(COUNTIF($BT$62:$BT$85,$BY98)&gt;=2,COUNTIF(INDIRECT("CF$"&amp;MATCH($BY98,$BY$89:$BY98,0)+87):CF97,"&gt;0")&lt;COUNTIF($BT$62:$BT$85,$BY98),CF97&lt;&gt;0),MATCH($BY98,INDIRECT("BT"&amp;CF97+1):$BT$85,0)+CF97,IF(AND(COUNTIF($BT$62:$BT$85,$BY98)&gt;=2,COUNTIF(INDIRECT("CF$"&amp;MATCH($BY98,$BY$89:$BY98,0)+87):CF97,"&gt;0")&lt;COUNTIF($BT$62:$BT$85,$BY98)),MATCH($BY98,$BT$62:BT$85,0)+61,0))))</f>
        <v>0</v>
      </c>
      <c r="CG98" s="248"/>
      <c r="CH98" s="248">
        <f t="shared" si="177"/>
      </c>
      <c r="CI98" s="570"/>
      <c r="CJ98" s="61">
        <f t="shared" si="178"/>
      </c>
    </row>
    <row r="99" spans="63:88" ht="12.75">
      <c r="BK99" s="391"/>
      <c r="BM99" s="61"/>
      <c r="BN99" s="61"/>
      <c r="BO99" s="61"/>
      <c r="BP99" s="61"/>
      <c r="BQ99" s="842" t="e">
        <f>IF(OR(AND(BV98&lt;&gt;"",BQ98&lt;40),BQ98&lt;35),BQ98+1,"")</f>
        <v>#NUM!</v>
      </c>
      <c r="BR99" s="842"/>
      <c r="BS99" s="842"/>
      <c r="BT99" s="842" t="e">
        <f>IF(BQ99="","",($BP$90+SUM($BY$89:BY98))/(BQ99+8))</f>
        <v>#NUM!</v>
      </c>
      <c r="BU99" s="425" t="e">
        <f>IF(OR(BV99&lt;&gt;"",MAX($BU$89:BU98)=3,AND(RIGHT(BX99,2)=RIGHT(BX98,2),VALUE(RIGHT(BX99,2))&gt;30)),0,BU98+1)</f>
        <v>#NUM!</v>
      </c>
      <c r="BV99" s="842" t="e">
        <f>IF(BV98="","",IF(OR(COUNT($BM$61:$BP$85)+$BV98&lt;35,AND(MAX($BV$89:BV98)+$BQ$89&lt;40,AND($BQ99&lt;40,$BY99&gt;$BT99))),BV98+1,""))</f>
        <v>#NUM!</v>
      </c>
      <c r="BW99" s="842" t="s">
        <v>236</v>
      </c>
      <c r="BX99" s="842">
        <f t="shared" si="174"/>
      </c>
      <c r="BY99" s="842">
        <f t="shared" si="176"/>
      </c>
      <c r="BZ99" s="61"/>
      <c r="CA99" s="248">
        <v>11</v>
      </c>
      <c r="CB99" s="248"/>
      <c r="CC99" s="255">
        <f ca="1">IF(OR($BY99="",ISERROR(MATCH($BY99,$BW$62:$BW$85,0))=TRUE),0,IF(OR(AND(COUNTIF($BW$62:$BW$85,$BY99)=1,ISNA(MATCH(MATCH($BY99,$BW$62:$BW$85,0)+61,CC$89:CC98,0)=TRUE)),AND(COUNTIF($BW$62:$BW$85,$BY99)&gt;=2,$BY99&lt;&gt;$BY98)),MATCH($BY99,$BW$62:$BW$85,0)+61,IF(AND(COUNTIF($BW$62:$BW$85,$BY99)&gt;=2,COUNTIF(INDIRECT("CC$"&amp;MATCH($BY99,$BY$89:$BY99,0)+87):CC98,"&gt;0")&lt;COUNTIF($BW$62:$BW$85,$BY99),CC98&lt;&gt;0),MATCH($BY99,INDIRECT("BW"&amp;CC98+1):$BW$85,0)+CC98,IF(AND(COUNTIF($BW$62:$BW$85,$BY99)&gt;=2,COUNTIF(INDIRECT("CC$"&amp;MATCH($BY99,$BY$89:$BY99,0)+87):CC98,"&gt;0")&lt;COUNTIF($BW$62:$BW$85,$BY99)),MATCH($BY99,$BW$62:$BW$85,0)+61,0))))</f>
        <v>0</v>
      </c>
      <c r="CD99" s="255">
        <f ca="1">IF(OR($BY99="",CC99&lt;&gt;0,ISERROR(MATCH($BY99,$BV$62:$BV$85,0))=TRUE),0,IF(OR(AND(COUNTIF($BV$62:$BV$85,$BY99)=1,ISNA(MATCH(MATCH($BY99,$BV$62:$BV$85,0)+61,CD$89:CD98,0)=TRUE)),AND(COUNTIF($BV$62:$BV$85,$BY99)&gt;=2,$BY99&lt;&gt;$BY98)),MATCH($BY99,$BV$62:$BV$85,0)+61,IF(AND(COUNTIF($BV$62:$BV$85,$BY99)&gt;=2,COUNTIF(INDIRECT("CD$"&amp;MATCH($BY99,$BY$89:$BY99,0)+87):CD98,"&gt;0")&lt;COUNTIF($BV$62:$BV$85,$BY99),CD98&lt;&gt;0),MATCH($BY99,INDIRECT("BV"&amp;CD98+1):$BV$85,0)+CD98,IF(AND(COUNTIF($BV$62:$BV$85,$BY99)&gt;=2,COUNTIF(INDIRECT("CD$"&amp;MATCH($BY99,$BY$89:$BY99,0)+87):CD98,"&gt;0")&lt;COUNTIF($BV$62:$BV$85,$BY99)),MATCH($BY99,$BV$62:$BV$85,0)+61,0))))</f>
        <v>0</v>
      </c>
      <c r="CE99" s="255">
        <f ca="1">IF(OR($BY99="",CC99&lt;&gt;0,CD99&lt;&gt;0,ISERROR(MATCH($BY99,$BU$62:$BU$85,0))=TRUE),0,IF(OR(AND(COUNTIF($BU$62:$BU$85,$BY99)=1,ISNA(MATCH(MATCH($BY99,$BU$62:$BU$85,0)+61,CE$89:CE98,0)=TRUE)),AND(COUNTIF($BU$62:$BU$85,$BY99)&gt;=2,$BY99&lt;&gt;$BY98)),MATCH($BY99,$BU$62:$BU$85,0)+61,IF(AND(COUNTIF($BU$62:$BU$85,$BY99)&gt;=2,COUNTIF(INDIRECT("CE$"&amp;MATCH($BY99,$BY$89:$BY99,0)+87):CE98,"&gt;0")&lt;COUNTIF($BU$62:$BU$85,$BY99),CE98&lt;&gt;0),MATCH($BY99,INDIRECT("BU"&amp;CE98+1):$BU$85,0)+CE98,IF(AND(COUNTIF($BU$62:$BU$85,$BY99)&gt;=2,COUNTIF(INDIRECT("CE$"&amp;MATCH($BY99,$BY$89:$BY99,0)+87):CE98,"&gt;0")&lt;COUNTIF($BU$62:$BU$85,$BY99)),MATCH($BY99,$BU$62:BU$85,0)+61,0))))</f>
        <v>0</v>
      </c>
      <c r="CF99" s="255">
        <f ca="1">IF(OR($BY99="",CC99&lt;&gt;0,CD99&lt;&gt;0,CE99&lt;&gt;0,ISERROR(MATCH($BY99,$BT$62:$BT$85,0))=TRUE),0,IF(OR(AND(COUNTIF($BT$62:$BT$85,$BY99)=1,ISNA(MATCH(MATCH($BY99,$BT$62:$BT$85,0)+61,CF$89:CF98,0)=TRUE)),AND(COUNTIF($BT$62:$BT$85,$BY99)&gt;=2,$BY99&lt;&gt;$BY98)),MATCH($BY99,$BT$62:$BT$85,0)+61,IF(AND(COUNTIF($BT$62:$BT$85,$BY99)&gt;=2,COUNTIF(INDIRECT("CF$"&amp;MATCH($BY99,$BY$89:$BY99,0)+87):CF98,"&gt;0")&lt;COUNTIF($BT$62:$BT$85,$BY99),CF98&lt;&gt;0),MATCH($BY99,INDIRECT("BT"&amp;CF98+1):$BT$85,0)+CF98,IF(AND(COUNTIF($BT$62:$BT$85,$BY99)&gt;=2,COUNTIF(INDIRECT("CF$"&amp;MATCH($BY99,$BY$89:$BY99,0)+87):CF98,"&gt;0")&lt;COUNTIF($BT$62:$BT$85,$BY99)),MATCH($BY99,$BT$62:BT$85,0)+61,0))))</f>
        <v>0</v>
      </c>
      <c r="CG99" s="248"/>
      <c r="CH99" s="248">
        <f t="shared" si="177"/>
      </c>
      <c r="CI99" s="570"/>
      <c r="CJ99" s="61">
        <f t="shared" si="178"/>
      </c>
    </row>
    <row r="100" spans="63:222" ht="12.75">
      <c r="BK100" s="391"/>
      <c r="BM100" s="61"/>
      <c r="BN100" s="61"/>
      <c r="BO100" s="61"/>
      <c r="BP100" s="61"/>
      <c r="BQ100" s="842" t="e">
        <f>IF(OR(AND(BV99&lt;&gt;"",BQ99&lt;40),BQ99&lt;35),BQ99+1,"")</f>
        <v>#NUM!</v>
      </c>
      <c r="BR100" s="842"/>
      <c r="BS100" s="842"/>
      <c r="BT100" s="842" t="e">
        <f>IF(BQ100="","",($BP$90+SUM($BY$89:BY99))/(BQ100+8))</f>
        <v>#NUM!</v>
      </c>
      <c r="BU100" s="425" t="e">
        <f>IF(OR(BV100&lt;&gt;"",MAX($BU$89:BU99)=3,AND(RIGHT(BX100,2)=RIGHT(BX99,2),VALUE(RIGHT(BX100,2))&gt;30)),0,BU99+1)</f>
        <v>#NUM!</v>
      </c>
      <c r="BV100" s="842" t="e">
        <f>IF(BV99="","",IF(OR(COUNT($BM$61:$BP$85)+$BV99&lt;35,AND(MAX($BV$89:BV99)+$BQ$89&lt;40,AND($BQ100&lt;40,$BY100&gt;$BT100))),BV99+1,""))</f>
        <v>#NUM!</v>
      </c>
      <c r="BW100" s="842" t="s">
        <v>237</v>
      </c>
      <c r="BX100" s="842">
        <f t="shared" si="174"/>
      </c>
      <c r="BY100" s="842">
        <f t="shared" si="176"/>
      </c>
      <c r="BZ100" s="61"/>
      <c r="CA100" s="248">
        <v>12</v>
      </c>
      <c r="CB100" s="248"/>
      <c r="CC100" s="255">
        <f ca="1">IF(OR($BY100="",ISERROR(MATCH($BY100,$BW$62:$BW$85,0))=TRUE),0,IF(OR(AND(COUNTIF($BW$62:$BW$85,$BY100)=1,ISNA(MATCH(MATCH($BY100,$BW$62:$BW$85,0)+61,CC$89:CC99,0)=TRUE)),AND(COUNTIF($BW$62:$BW$85,$BY100)&gt;=2,$BY100&lt;&gt;$BY99)),MATCH($BY100,$BW$62:$BW$85,0)+61,IF(AND(COUNTIF($BW$62:$BW$85,$BY100)&gt;=2,COUNTIF(INDIRECT("CC$"&amp;MATCH($BY100,$BY$89:$BY100,0)+87):CC99,"&gt;0")&lt;COUNTIF($BW$62:$BW$85,$BY100),CC99&lt;&gt;0),MATCH($BY100,INDIRECT("BW"&amp;CC99+1):$BW$85,0)+CC99,IF(AND(COUNTIF($BW$62:$BW$85,$BY100)&gt;=2,COUNTIF(INDIRECT("CC$"&amp;MATCH($BY100,$BY$89:$BY100,0)+87):CC99,"&gt;0")&lt;COUNTIF($BW$62:$BW$85,$BY100)),MATCH($BY100,$BW$62:$BW$85,0)+61,0))))</f>
        <v>0</v>
      </c>
      <c r="CD100" s="255">
        <f ca="1">IF(OR($BY100="",CC100&lt;&gt;0,ISERROR(MATCH($BY100,$BV$62:$BV$85,0))=TRUE),0,IF(OR(AND(COUNTIF($BV$62:$BV$85,$BY100)=1,ISNA(MATCH(MATCH($BY100,$BV$62:$BV$85,0)+61,CD$89:CD99,0)=TRUE)),AND(COUNTIF($BV$62:$BV$85,$BY100)&gt;=2,$BY100&lt;&gt;$BY99)),MATCH($BY100,$BV$62:$BV$85,0)+61,IF(AND(COUNTIF($BV$62:$BV$85,$BY100)&gt;=2,COUNTIF(INDIRECT("CD$"&amp;MATCH($BY100,$BY$89:$BY100,0)+87):CD99,"&gt;0")&lt;COUNTIF($BV$62:$BV$85,$BY100),CD99&lt;&gt;0),MATCH($BY100,INDIRECT("BV"&amp;CD99+1):$BV$85,0)+CD99,IF(AND(COUNTIF($BV$62:$BV$85,$BY100)&gt;=2,COUNTIF(INDIRECT("CD$"&amp;MATCH($BY100,$BY$89:$BY100,0)+87):CD99,"&gt;0")&lt;COUNTIF($BV$62:$BV$85,$BY100)),MATCH($BY100,$BV$62:$BV$85,0)+61,0))))</f>
        <v>0</v>
      </c>
      <c r="CE100" s="255">
        <f ca="1">IF(OR($BY100="",CC100&lt;&gt;0,CD100&lt;&gt;0,ISERROR(MATCH($BY100,$BU$62:$BU$85,0))=TRUE),0,IF(OR(AND(COUNTIF($BU$62:$BU$85,$BY100)=1,ISNA(MATCH(MATCH($BY100,$BU$62:$BU$85,0)+61,CE$89:CE99,0)=TRUE)),AND(COUNTIF($BU$62:$BU$85,$BY100)&gt;=2,$BY100&lt;&gt;$BY99)),MATCH($BY100,$BU$62:$BU$85,0)+61,IF(AND(COUNTIF($BU$62:$BU$85,$BY100)&gt;=2,COUNTIF(INDIRECT("CE$"&amp;MATCH($BY100,$BY$89:$BY100,0)+87):CE99,"&gt;0")&lt;COUNTIF($BU$62:$BU$85,$BY100),CE99&lt;&gt;0),MATCH($BY100,INDIRECT("BU"&amp;CE99+1):$BU$85,0)+CE99,IF(AND(COUNTIF($BU$62:$BU$85,$BY100)&gt;=2,COUNTIF(INDIRECT("CE$"&amp;MATCH($BY100,$BY$89:$BY100,0)+87):CE99,"&gt;0")&lt;COUNTIF($BU$62:$BU$85,$BY100)),MATCH($BY100,$BU$62:BU$85,0)+61,0))))</f>
        <v>0</v>
      </c>
      <c r="CF100" s="255">
        <f ca="1">IF(OR($BY100="",CC100&lt;&gt;0,CD100&lt;&gt;0,CE100&lt;&gt;0,ISERROR(MATCH($BY100,$BT$62:$BT$85,0))=TRUE),0,IF(OR(AND(COUNTIF($BT$62:$BT$85,$BY100)=1,ISNA(MATCH(MATCH($BY100,$BT$62:$BT$85,0)+61,CF$89:CF99,0)=TRUE)),AND(COUNTIF($BT$62:$BT$85,$BY100)&gt;=2,$BY100&lt;&gt;$BY99)),MATCH($BY100,$BT$62:$BT$85,0)+61,IF(AND(COUNTIF($BT$62:$BT$85,$BY100)&gt;=2,COUNTIF(INDIRECT("CF$"&amp;MATCH($BY100,$BY$89:$BY100,0)+87):CF99,"&gt;0")&lt;COUNTIF($BT$62:$BT$85,$BY100),CF99&lt;&gt;0),MATCH($BY100,INDIRECT("BT"&amp;CF99+1):$BT$85,0)+CF99,IF(AND(COUNTIF($BT$62:$BT$85,$BY100)&gt;=2,COUNTIF(INDIRECT("CF$"&amp;MATCH($BY100,$BY$89:$BY100,0)+87):CF99,"&gt;0")&lt;COUNTIF($BT$62:$BT$85,$BY100)),MATCH($BY100,$BT$62:BT$85,0)+61,0))))</f>
        <v>0</v>
      </c>
      <c r="CG100" s="248"/>
      <c r="CH100" s="248">
        <f t="shared" si="177"/>
      </c>
      <c r="CI100" s="570"/>
      <c r="CJ100" s="61">
        <f t="shared" si="178"/>
      </c>
      <c r="HF100" s="325"/>
      <c r="HG100" s="325"/>
      <c r="HH100" s="325"/>
      <c r="HI100" s="325"/>
      <c r="HJ100" s="325"/>
      <c r="HK100" s="325"/>
      <c r="HL100" s="325"/>
      <c r="HM100" s="325"/>
      <c r="HN100" s="325"/>
    </row>
    <row r="101" spans="63:222" ht="12.75">
      <c r="BK101" s="391"/>
      <c r="BM101" s="391"/>
      <c r="BN101" s="391"/>
      <c r="BO101" s="391"/>
      <c r="BP101" s="391"/>
      <c r="BQ101" s="391"/>
      <c r="BR101" s="391"/>
      <c r="BS101" s="391"/>
      <c r="BT101" s="391"/>
      <c r="BU101" s="391"/>
      <c r="BV101" s="570"/>
      <c r="BW101" s="570"/>
      <c r="BX101" s="570"/>
      <c r="BY101" s="570"/>
      <c r="BZ101" s="570"/>
      <c r="CA101" s="570"/>
      <c r="CB101" s="570"/>
      <c r="CC101" s="570"/>
      <c r="CD101" s="391"/>
      <c r="CE101" s="570"/>
      <c r="CF101" s="570"/>
      <c r="CG101" s="570"/>
      <c r="CH101" s="570"/>
      <c r="CI101" s="570"/>
      <c r="CJ101" s="391"/>
      <c r="DW101" s="48"/>
      <c r="DX101" s="48"/>
      <c r="DY101" s="48"/>
      <c r="DZ101" s="584"/>
      <c r="EA101" s="48"/>
      <c r="EB101" s="48"/>
      <c r="EC101" s="48"/>
      <c r="ED101" s="48"/>
      <c r="EE101" s="48"/>
      <c r="EF101" s="584"/>
      <c r="EG101" s="48"/>
      <c r="EH101" s="48"/>
      <c r="EI101" s="48"/>
      <c r="EJ101" s="48"/>
      <c r="EK101" s="48"/>
      <c r="EL101" s="584"/>
      <c r="EM101" s="584"/>
      <c r="EN101" s="48"/>
      <c r="EO101" s="48"/>
      <c r="EP101" s="48"/>
      <c r="EQ101" s="48"/>
      <c r="ER101" s="48"/>
      <c r="ES101" s="584"/>
      <c r="HF101" s="325"/>
      <c r="HG101" s="325"/>
      <c r="HH101" s="325"/>
      <c r="HI101" s="325"/>
      <c r="HJ101" s="325"/>
      <c r="HK101" s="325"/>
      <c r="HL101" s="325"/>
      <c r="HM101" s="325"/>
      <c r="HN101" s="325"/>
    </row>
    <row r="102" spans="63:222" ht="12.75">
      <c r="BK102" s="391"/>
      <c r="BM102" s="391"/>
      <c r="BN102" s="391"/>
      <c r="BO102" s="391"/>
      <c r="BP102" s="391"/>
      <c r="BQ102" s="391"/>
      <c r="BR102" s="391"/>
      <c r="BS102" s="391"/>
      <c r="BT102" s="391"/>
      <c r="BU102" s="391"/>
      <c r="BV102" s="570"/>
      <c r="BW102" s="570"/>
      <c r="BX102" s="570"/>
      <c r="BY102" s="570"/>
      <c r="BZ102" s="570"/>
      <c r="CA102" s="570"/>
      <c r="CB102" s="570"/>
      <c r="CC102" s="570"/>
      <c r="CD102" s="391"/>
      <c r="CE102" s="570"/>
      <c r="CF102" s="570"/>
      <c r="CG102" s="570"/>
      <c r="CH102" s="570"/>
      <c r="CI102" s="570"/>
      <c r="CJ102" s="391"/>
      <c r="DW102" s="48"/>
      <c r="DX102" s="48"/>
      <c r="DY102" s="48"/>
      <c r="DZ102" s="584"/>
      <c r="EA102" s="48"/>
      <c r="EB102" s="48"/>
      <c r="EC102" s="48"/>
      <c r="ED102" s="48"/>
      <c r="EE102" s="48"/>
      <c r="EF102" s="584"/>
      <c r="EG102" s="48"/>
      <c r="EH102" s="48"/>
      <c r="EI102" s="48"/>
      <c r="EJ102" s="48"/>
      <c r="EK102" s="48"/>
      <c r="EL102" s="584"/>
      <c r="EM102" s="584"/>
      <c r="EN102" s="48"/>
      <c r="EO102" s="48"/>
      <c r="EP102" s="48"/>
      <c r="EQ102" s="48"/>
      <c r="ER102" s="48"/>
      <c r="ES102" s="584"/>
      <c r="HF102" s="325"/>
      <c r="HG102" s="325"/>
      <c r="HH102" s="325"/>
      <c r="HI102" s="325"/>
      <c r="HJ102" s="325"/>
      <c r="HK102" s="325"/>
      <c r="HL102" s="325"/>
      <c r="HM102" s="325"/>
      <c r="HN102" s="325"/>
    </row>
    <row r="103" spans="63:222" ht="12.75">
      <c r="BK103" s="391"/>
      <c r="BM103" s="391"/>
      <c r="BN103" s="391"/>
      <c r="BO103" s="391"/>
      <c r="BP103" s="391"/>
      <c r="BQ103" s="391"/>
      <c r="BR103" s="391"/>
      <c r="BS103" s="391"/>
      <c r="BT103" s="391"/>
      <c r="BU103" s="391"/>
      <c r="BV103" s="570"/>
      <c r="BW103" s="570"/>
      <c r="BX103" s="570"/>
      <c r="BY103" s="570"/>
      <c r="BZ103" s="570"/>
      <c r="CA103" s="570"/>
      <c r="CB103" s="570"/>
      <c r="CC103" s="570"/>
      <c r="CD103" s="391"/>
      <c r="CE103" s="570"/>
      <c r="CF103" s="570"/>
      <c r="CG103" s="570"/>
      <c r="CH103" s="570"/>
      <c r="CI103" s="570"/>
      <c r="CJ103" s="391"/>
      <c r="DW103" s="48"/>
      <c r="DX103" s="48"/>
      <c r="DY103" s="48"/>
      <c r="DZ103" s="584"/>
      <c r="EA103" s="48"/>
      <c r="EB103" s="48"/>
      <c r="EC103" s="48"/>
      <c r="ED103" s="48"/>
      <c r="EE103" s="48"/>
      <c r="EF103" s="584"/>
      <c r="EG103" s="48"/>
      <c r="EH103" s="48"/>
      <c r="EI103" s="48"/>
      <c r="EJ103" s="48"/>
      <c r="EK103" s="48"/>
      <c r="EL103" s="584"/>
      <c r="EM103" s="584"/>
      <c r="EN103" s="48"/>
      <c r="EO103" s="48"/>
      <c r="EP103" s="48"/>
      <c r="EQ103" s="48"/>
      <c r="ER103" s="48"/>
      <c r="ES103" s="584"/>
      <c r="HF103" s="325"/>
      <c r="HG103" s="325"/>
      <c r="HH103" s="325"/>
      <c r="HI103" s="325"/>
      <c r="HJ103" s="325"/>
      <c r="HK103" s="325"/>
      <c r="HL103" s="325"/>
      <c r="HM103" s="325"/>
      <c r="HN103" s="325"/>
    </row>
    <row r="104" spans="44:222" ht="12.75">
      <c r="AR104" s="391"/>
      <c r="AS104" s="391"/>
      <c r="AT104" s="391"/>
      <c r="AU104" s="391"/>
      <c r="AV104" s="391"/>
      <c r="AW104" s="391"/>
      <c r="AX104" s="391"/>
      <c r="AY104" s="391"/>
      <c r="AZ104" s="391"/>
      <c r="BA104" s="391"/>
      <c r="BB104" s="391"/>
      <c r="BC104" s="391"/>
      <c r="BD104" s="391"/>
      <c r="BE104" s="391"/>
      <c r="BF104" s="391"/>
      <c r="BG104" s="391"/>
      <c r="BH104" s="391"/>
      <c r="BI104" s="391"/>
      <c r="BJ104" s="391"/>
      <c r="BK104" s="391"/>
      <c r="BM104" s="391"/>
      <c r="BN104" s="391"/>
      <c r="BO104" s="391"/>
      <c r="BP104" s="391"/>
      <c r="BQ104" s="391"/>
      <c r="BR104" s="391"/>
      <c r="BS104" s="391"/>
      <c r="BT104" s="391"/>
      <c r="BU104" s="391"/>
      <c r="BV104" s="570"/>
      <c r="BW104" s="570"/>
      <c r="BX104" s="570"/>
      <c r="BY104" s="570"/>
      <c r="BZ104" s="570"/>
      <c r="CA104" s="570"/>
      <c r="CB104" s="570"/>
      <c r="CC104" s="570"/>
      <c r="CD104" s="391"/>
      <c r="CE104" s="570"/>
      <c r="CF104" s="570"/>
      <c r="CG104" s="570"/>
      <c r="CH104" s="570"/>
      <c r="CI104" s="570"/>
      <c r="CJ104" s="391"/>
      <c r="CK104" s="570"/>
      <c r="CL104" s="570"/>
      <c r="CM104" s="570"/>
      <c r="CN104" s="570"/>
      <c r="CO104" s="570"/>
      <c r="DW104" s="48"/>
      <c r="DX104" s="48"/>
      <c r="DY104" s="48"/>
      <c r="DZ104" s="584"/>
      <c r="EA104" s="48"/>
      <c r="EB104" s="48"/>
      <c r="EC104" s="48"/>
      <c r="ED104" s="48"/>
      <c r="EE104" s="48"/>
      <c r="EF104" s="584"/>
      <c r="EG104" s="48"/>
      <c r="EH104" s="48"/>
      <c r="EI104" s="48"/>
      <c r="EJ104" s="48"/>
      <c r="EK104" s="48"/>
      <c r="EL104" s="584"/>
      <c r="EM104" s="584"/>
      <c r="EN104" s="48"/>
      <c r="EO104" s="48"/>
      <c r="EP104" s="48"/>
      <c r="EQ104" s="48"/>
      <c r="ER104" s="48"/>
      <c r="ES104" s="584"/>
      <c r="HF104" s="325"/>
      <c r="HG104" s="325"/>
      <c r="HH104" s="325"/>
      <c r="HI104" s="325"/>
      <c r="HJ104" s="325"/>
      <c r="HK104" s="325"/>
      <c r="HL104" s="325"/>
      <c r="HM104" s="325"/>
      <c r="HN104" s="325"/>
    </row>
    <row r="105" spans="44:222" ht="12.75">
      <c r="AR105" s="391"/>
      <c r="AS105" s="391"/>
      <c r="AT105" s="391"/>
      <c r="AU105" s="391"/>
      <c r="AV105" s="391"/>
      <c r="AW105" s="391"/>
      <c r="AX105" s="391"/>
      <c r="AY105" s="391"/>
      <c r="AZ105" s="391"/>
      <c r="BA105" s="391"/>
      <c r="BB105" s="391"/>
      <c r="BC105" s="391"/>
      <c r="BD105" s="391"/>
      <c r="BE105" s="391"/>
      <c r="BF105" s="391"/>
      <c r="BG105" s="391"/>
      <c r="BH105" s="391"/>
      <c r="BI105" s="391"/>
      <c r="BJ105" s="391"/>
      <c r="BK105" s="391"/>
      <c r="BM105" s="391"/>
      <c r="BN105" s="391"/>
      <c r="BO105" s="391"/>
      <c r="BP105" s="391"/>
      <c r="BQ105" s="391"/>
      <c r="BR105" s="391"/>
      <c r="BS105" s="391"/>
      <c r="BT105" s="391"/>
      <c r="BU105" s="391"/>
      <c r="BV105" s="570"/>
      <c r="BW105" s="570"/>
      <c r="BX105" s="570"/>
      <c r="BY105" s="570"/>
      <c r="BZ105" s="570"/>
      <c r="CA105" s="570"/>
      <c r="CB105" s="570"/>
      <c r="CC105" s="570"/>
      <c r="CD105" s="391"/>
      <c r="CE105" s="570"/>
      <c r="CF105" s="570"/>
      <c r="CG105" s="570"/>
      <c r="CH105" s="570"/>
      <c r="CI105" s="570"/>
      <c r="CJ105" s="391"/>
      <c r="CK105" s="570"/>
      <c r="CL105" s="570"/>
      <c r="CM105" s="570"/>
      <c r="CN105" s="570"/>
      <c r="CO105" s="570"/>
      <c r="DW105" s="48"/>
      <c r="DX105" s="48"/>
      <c r="DY105" s="48"/>
      <c r="DZ105" s="584"/>
      <c r="EA105" s="48"/>
      <c r="EB105" s="48"/>
      <c r="EC105" s="48"/>
      <c r="ED105" s="48"/>
      <c r="EE105" s="48"/>
      <c r="EF105" s="584"/>
      <c r="EG105" s="48"/>
      <c r="EH105" s="48"/>
      <c r="EI105" s="48"/>
      <c r="EJ105" s="48"/>
      <c r="EK105" s="48"/>
      <c r="EL105" s="584"/>
      <c r="EM105" s="584"/>
      <c r="EN105" s="48"/>
      <c r="EO105" s="48"/>
      <c r="EP105" s="48"/>
      <c r="EQ105" s="48"/>
      <c r="ER105" s="48"/>
      <c r="ES105" s="584"/>
      <c r="HF105" s="325"/>
      <c r="HG105" s="325"/>
      <c r="HH105" s="325"/>
      <c r="HI105" s="325"/>
      <c r="HJ105" s="325"/>
      <c r="HK105" s="325"/>
      <c r="HL105" s="325"/>
      <c r="HM105" s="325"/>
      <c r="HN105" s="325"/>
    </row>
    <row r="106" spans="44:222" ht="17.25" customHeight="1">
      <c r="AR106" s="391"/>
      <c r="AS106" s="391"/>
      <c r="AT106" s="391"/>
      <c r="AU106" s="391"/>
      <c r="AV106" s="391"/>
      <c r="AW106" s="391"/>
      <c r="AX106" s="391"/>
      <c r="AY106" s="391"/>
      <c r="AZ106" s="391"/>
      <c r="BA106" s="391"/>
      <c r="BB106" s="391"/>
      <c r="BC106" s="391"/>
      <c r="BD106" s="391"/>
      <c r="BE106" s="391"/>
      <c r="BF106" s="391"/>
      <c r="BG106" s="391"/>
      <c r="BH106" s="391"/>
      <c r="BI106" s="391"/>
      <c r="BJ106" s="391"/>
      <c r="BK106" s="391"/>
      <c r="BM106" s="391"/>
      <c r="BN106" s="391"/>
      <c r="BO106" s="391"/>
      <c r="BP106" s="391"/>
      <c r="BQ106" s="391"/>
      <c r="BR106" s="391"/>
      <c r="BS106" s="391"/>
      <c r="BT106" s="391"/>
      <c r="BU106" s="391"/>
      <c r="BV106" s="570"/>
      <c r="BW106" s="570"/>
      <c r="BX106" s="570"/>
      <c r="BY106" s="570"/>
      <c r="BZ106" s="570"/>
      <c r="CA106" s="570"/>
      <c r="CB106" s="570"/>
      <c r="CC106" s="570"/>
      <c r="CD106" s="391"/>
      <c r="CE106" s="570"/>
      <c r="CF106" s="570"/>
      <c r="CG106" s="570"/>
      <c r="CH106" s="570"/>
      <c r="CI106" s="570"/>
      <c r="CJ106" s="391"/>
      <c r="CK106" s="570"/>
      <c r="CL106" s="570"/>
      <c r="CM106" s="570"/>
      <c r="CN106" s="570"/>
      <c r="CO106" s="570"/>
      <c r="CP106" s="391"/>
      <c r="CQ106" s="570"/>
      <c r="CR106" s="570"/>
      <c r="CS106" s="570"/>
      <c r="CT106" s="570"/>
      <c r="CU106" s="570"/>
      <c r="CV106" s="391"/>
      <c r="CW106" s="570"/>
      <c r="CX106" s="570"/>
      <c r="CY106" s="570"/>
      <c r="CZ106" s="570"/>
      <c r="DA106" s="570"/>
      <c r="DB106" s="391"/>
      <c r="DC106" s="570"/>
      <c r="DD106" s="570"/>
      <c r="DE106" s="570"/>
      <c r="DF106" s="570"/>
      <c r="DG106" s="570"/>
      <c r="DH106" s="391"/>
      <c r="DI106" s="570"/>
      <c r="DJ106" s="570"/>
      <c r="DK106" s="570"/>
      <c r="DL106" s="570"/>
      <c r="DM106" s="570"/>
      <c r="DN106" s="391"/>
      <c r="DO106" s="570"/>
      <c r="DP106" s="570"/>
      <c r="DQ106" s="570"/>
      <c r="DR106" s="570"/>
      <c r="DS106" s="570"/>
      <c r="DT106" s="391"/>
      <c r="DU106" s="570"/>
      <c r="DV106" s="570"/>
      <c r="DW106" s="570"/>
      <c r="DX106" s="570"/>
      <c r="DY106" s="48"/>
      <c r="DZ106" s="584"/>
      <c r="EA106" s="48"/>
      <c r="EB106" s="48"/>
      <c r="EC106" s="48"/>
      <c r="ED106" s="48"/>
      <c r="EE106" s="48"/>
      <c r="EF106" s="584"/>
      <c r="EG106" s="48"/>
      <c r="EH106" s="48"/>
      <c r="EI106" s="48"/>
      <c r="EJ106" s="48"/>
      <c r="EK106" s="48"/>
      <c r="EL106" s="584"/>
      <c r="EM106" s="584"/>
      <c r="EN106" s="48"/>
      <c r="EO106" s="48"/>
      <c r="EP106" s="48"/>
      <c r="EQ106" s="48"/>
      <c r="ER106" s="48"/>
      <c r="ES106" s="584"/>
      <c r="HF106" s="325"/>
      <c r="HG106" s="325"/>
      <c r="HH106" s="325"/>
      <c r="HI106" s="325"/>
      <c r="HJ106" s="325"/>
      <c r="HK106" s="325"/>
      <c r="HL106" s="325"/>
      <c r="HM106" s="325"/>
      <c r="HN106" s="325"/>
    </row>
    <row r="107" spans="1:222" ht="16.5" customHeight="1">
      <c r="A107" s="324"/>
      <c r="B107" s="771"/>
      <c r="C107" s="771"/>
      <c r="D107" s="771"/>
      <c r="E107" s="771"/>
      <c r="F107" s="771"/>
      <c r="G107" s="771"/>
      <c r="H107" s="771"/>
      <c r="I107" s="771"/>
      <c r="J107" s="771"/>
      <c r="K107" s="771"/>
      <c r="L107" s="771"/>
      <c r="M107" s="771"/>
      <c r="N107" s="771"/>
      <c r="O107" s="771"/>
      <c r="P107" s="324"/>
      <c r="Q107" s="324"/>
      <c r="R107" s="324"/>
      <c r="S107" s="324"/>
      <c r="T107" s="663"/>
      <c r="U107" s="663"/>
      <c r="V107" s="663"/>
      <c r="W107" s="663"/>
      <c r="X107" s="663"/>
      <c r="Y107" s="663"/>
      <c r="Z107" s="663"/>
      <c r="AA107" s="663"/>
      <c r="AB107" s="663"/>
      <c r="AC107" s="663"/>
      <c r="AD107" s="663"/>
      <c r="AE107" s="663"/>
      <c r="AF107" s="663"/>
      <c r="AG107" s="663"/>
      <c r="AH107" s="324"/>
      <c r="AI107" s="63"/>
      <c r="AJ107" s="666"/>
      <c r="AK107" s="667"/>
      <c r="AL107" s="324"/>
      <c r="AM107" s="570"/>
      <c r="AN107" s="570"/>
      <c r="AO107" s="391"/>
      <c r="AP107" s="391"/>
      <c r="AQ107" s="391"/>
      <c r="AR107" s="391"/>
      <c r="AS107" s="391"/>
      <c r="AT107" s="391"/>
      <c r="AU107" s="391"/>
      <c r="AV107" s="391"/>
      <c r="AW107" s="391"/>
      <c r="AX107" s="391"/>
      <c r="AY107" s="391"/>
      <c r="AZ107" s="391"/>
      <c r="BA107" s="391"/>
      <c r="BB107" s="391"/>
      <c r="BC107" s="391"/>
      <c r="BD107" s="391"/>
      <c r="BE107" s="391"/>
      <c r="BF107" s="391"/>
      <c r="BG107" s="391"/>
      <c r="BH107" s="391"/>
      <c r="BI107" s="391"/>
      <c r="BJ107" s="391"/>
      <c r="BK107" s="391"/>
      <c r="BM107" s="391"/>
      <c r="BN107" s="391"/>
      <c r="BO107" s="391"/>
      <c r="BP107" s="391"/>
      <c r="BQ107" s="391"/>
      <c r="BR107" s="391"/>
      <c r="BS107" s="391"/>
      <c r="BT107" s="391"/>
      <c r="BU107" s="391"/>
      <c r="BV107" s="570"/>
      <c r="BW107" s="570"/>
      <c r="BX107" s="570"/>
      <c r="BY107" s="570"/>
      <c r="BZ107" s="570"/>
      <c r="CA107" s="570"/>
      <c r="CB107" s="570"/>
      <c r="CC107" s="570"/>
      <c r="CD107" s="391"/>
      <c r="CE107" s="570"/>
      <c r="CF107" s="570"/>
      <c r="CG107" s="570"/>
      <c r="CH107" s="570"/>
      <c r="CI107" s="570"/>
      <c r="CJ107" s="391"/>
      <c r="CK107" s="570"/>
      <c r="CL107" s="570"/>
      <c r="CM107" s="570"/>
      <c r="CN107" s="570"/>
      <c r="CO107" s="570"/>
      <c r="CP107" s="391"/>
      <c r="CQ107" s="570"/>
      <c r="CR107" s="570"/>
      <c r="CS107" s="570"/>
      <c r="CT107" s="570"/>
      <c r="CU107" s="570"/>
      <c r="CV107" s="391"/>
      <c r="CW107" s="570"/>
      <c r="CX107" s="570"/>
      <c r="CY107" s="570"/>
      <c r="CZ107" s="570"/>
      <c r="DA107" s="570"/>
      <c r="DB107" s="391"/>
      <c r="DC107" s="663"/>
      <c r="DD107" s="663"/>
      <c r="DE107" s="663"/>
      <c r="DF107" s="663"/>
      <c r="DG107" s="663"/>
      <c r="DH107" s="663"/>
      <c r="DI107" s="663"/>
      <c r="DJ107" s="663"/>
      <c r="DK107" s="663"/>
      <c r="DL107" s="663"/>
      <c r="DM107" s="663"/>
      <c r="DN107" s="663"/>
      <c r="DO107" s="663"/>
      <c r="DP107" s="663"/>
      <c r="DQ107" s="324"/>
      <c r="DR107" s="63"/>
      <c r="DS107" s="666"/>
      <c r="DT107" s="667"/>
      <c r="DU107" s="324"/>
      <c r="DV107" s="570"/>
      <c r="DW107" s="570"/>
      <c r="DX107" s="570"/>
      <c r="DY107" s="48"/>
      <c r="DZ107" s="584"/>
      <c r="EA107" s="48"/>
      <c r="EB107" s="48"/>
      <c r="EC107" s="48"/>
      <c r="ED107" s="48"/>
      <c r="EE107" s="48"/>
      <c r="EF107" s="584"/>
      <c r="EG107" s="48"/>
      <c r="EH107" s="48"/>
      <c r="EI107" s="48"/>
      <c r="EJ107" s="48"/>
      <c r="EK107" s="48"/>
      <c r="EL107" s="584"/>
      <c r="EM107" s="584"/>
      <c r="EN107" s="48"/>
      <c r="EO107" s="48"/>
      <c r="EP107" s="48"/>
      <c r="EQ107" s="48"/>
      <c r="ER107" s="48"/>
      <c r="ES107" s="584"/>
      <c r="EU107" s="48"/>
      <c r="EV107" s="48"/>
      <c r="EW107" s="48"/>
      <c r="EX107" s="48"/>
      <c r="EY107" s="48"/>
      <c r="EZ107" s="48"/>
      <c r="FA107" s="325"/>
      <c r="FB107" s="839"/>
      <c r="FC107" s="839"/>
      <c r="FD107" s="839"/>
      <c r="FE107" s="839"/>
      <c r="FF107" s="839"/>
      <c r="FG107" s="839"/>
      <c r="FH107" s="839"/>
      <c r="FI107" s="839"/>
      <c r="FJ107" s="839"/>
      <c r="FK107" s="839"/>
      <c r="FL107" s="839"/>
      <c r="FM107" s="839"/>
      <c r="FN107" s="839"/>
      <c r="FO107" s="839"/>
      <c r="FP107" s="839"/>
      <c r="FQ107" s="839"/>
      <c r="FR107" s="839"/>
      <c r="FS107" s="839"/>
      <c r="FT107" s="839"/>
      <c r="FU107" s="839"/>
      <c r="FV107" s="839"/>
      <c r="FW107" s="839"/>
      <c r="FX107" s="839"/>
      <c r="FY107" s="839"/>
      <c r="FZ107" s="839"/>
      <c r="GA107" s="839"/>
      <c r="GB107" s="325"/>
      <c r="GC107" s="63"/>
      <c r="GD107" s="1043"/>
      <c r="GE107" s="932"/>
      <c r="HF107" s="325"/>
      <c r="HG107" s="839"/>
      <c r="HH107" s="839"/>
      <c r="HI107" s="839"/>
      <c r="HJ107" s="839"/>
      <c r="HK107" s="839"/>
      <c r="HL107" s="839"/>
      <c r="HM107" s="325"/>
      <c r="HN107" s="325"/>
    </row>
    <row r="108" spans="1:222" ht="17.25" customHeight="1">
      <c r="A108" s="324"/>
      <c r="B108" s="324"/>
      <c r="C108" s="324"/>
      <c r="D108" s="324"/>
      <c r="E108" s="324"/>
      <c r="F108" s="324"/>
      <c r="G108" s="324"/>
      <c r="H108" s="324"/>
      <c r="I108" s="324"/>
      <c r="J108" s="324"/>
      <c r="K108" s="324"/>
      <c r="L108" s="324"/>
      <c r="M108" s="324"/>
      <c r="N108" s="324"/>
      <c r="O108" s="324"/>
      <c r="P108" s="324"/>
      <c r="Q108" s="324"/>
      <c r="R108" s="324"/>
      <c r="S108" s="324"/>
      <c r="T108" s="640"/>
      <c r="U108" s="640"/>
      <c r="V108" s="640"/>
      <c r="W108" s="640"/>
      <c r="X108" s="640"/>
      <c r="Y108" s="640"/>
      <c r="Z108" s="640"/>
      <c r="AA108" s="640"/>
      <c r="AB108" s="640"/>
      <c r="AC108" s="640"/>
      <c r="AD108" s="640"/>
      <c r="AE108" s="640"/>
      <c r="AF108" s="640"/>
      <c r="AG108" s="640"/>
      <c r="AH108" s="640"/>
      <c r="AI108" s="640"/>
      <c r="AJ108" s="640"/>
      <c r="AK108" s="640"/>
      <c r="AL108" s="324"/>
      <c r="AM108" s="570"/>
      <c r="AN108" s="570"/>
      <c r="AO108" s="391"/>
      <c r="AP108" s="391"/>
      <c r="AQ108" s="391"/>
      <c r="AR108" s="391"/>
      <c r="AS108" s="391"/>
      <c r="AT108" s="391"/>
      <c r="AU108" s="391"/>
      <c r="AV108" s="391"/>
      <c r="AW108" s="391"/>
      <c r="AX108" s="391"/>
      <c r="AY108" s="391"/>
      <c r="AZ108" s="391"/>
      <c r="BA108" s="391"/>
      <c r="BB108" s="391"/>
      <c r="BC108" s="391"/>
      <c r="BD108" s="391"/>
      <c r="BE108" s="391"/>
      <c r="BF108" s="391"/>
      <c r="BG108" s="391"/>
      <c r="BH108" s="391"/>
      <c r="BI108" s="391"/>
      <c r="BJ108" s="391"/>
      <c r="BK108" s="391"/>
      <c r="BM108" s="391"/>
      <c r="BN108" s="391"/>
      <c r="BO108" s="391"/>
      <c r="BP108" s="391"/>
      <c r="BQ108" s="391"/>
      <c r="BR108" s="391"/>
      <c r="BS108" s="391"/>
      <c r="BT108" s="391"/>
      <c r="BU108" s="391"/>
      <c r="BV108" s="570"/>
      <c r="BW108" s="570"/>
      <c r="BX108" s="570"/>
      <c r="BY108" s="570"/>
      <c r="BZ108" s="570"/>
      <c r="CA108" s="570"/>
      <c r="CB108" s="570"/>
      <c r="CC108" s="570"/>
      <c r="CD108" s="391"/>
      <c r="CE108" s="570"/>
      <c r="CF108" s="570"/>
      <c r="CG108" s="570"/>
      <c r="CH108" s="570"/>
      <c r="CI108" s="570"/>
      <c r="CJ108" s="391"/>
      <c r="CK108" s="570"/>
      <c r="CL108" s="570"/>
      <c r="CM108" s="570"/>
      <c r="CN108" s="570"/>
      <c r="CO108" s="570"/>
      <c r="CP108" s="391"/>
      <c r="CQ108" s="570"/>
      <c r="CR108" s="570"/>
      <c r="CS108" s="570"/>
      <c r="CT108" s="570"/>
      <c r="CU108" s="570"/>
      <c r="CV108" s="391"/>
      <c r="CW108" s="570"/>
      <c r="CX108" s="570"/>
      <c r="CY108" s="570"/>
      <c r="CZ108" s="570"/>
      <c r="DA108" s="570"/>
      <c r="DB108" s="391"/>
      <c r="DC108" s="640"/>
      <c r="DD108" s="640"/>
      <c r="DE108" s="640"/>
      <c r="DF108" s="640"/>
      <c r="DG108" s="640"/>
      <c r="DH108" s="640"/>
      <c r="DI108" s="640"/>
      <c r="DJ108" s="640"/>
      <c r="DK108" s="640"/>
      <c r="DL108" s="640"/>
      <c r="DM108" s="640"/>
      <c r="DN108" s="640"/>
      <c r="DO108" s="640"/>
      <c r="DP108" s="640"/>
      <c r="DQ108" s="640"/>
      <c r="DR108" s="640"/>
      <c r="DS108" s="640"/>
      <c r="DT108" s="640"/>
      <c r="DU108" s="324"/>
      <c r="DV108" s="570"/>
      <c r="DW108" s="570"/>
      <c r="DX108" s="570"/>
      <c r="DY108" s="48"/>
      <c r="DZ108" s="584"/>
      <c r="EA108" s="48"/>
      <c r="EB108" s="48"/>
      <c r="EC108" s="48"/>
      <c r="ED108" s="48"/>
      <c r="EE108" s="48"/>
      <c r="EF108" s="584"/>
      <c r="EG108" s="48"/>
      <c r="EH108" s="48"/>
      <c r="EI108" s="48"/>
      <c r="EJ108" s="48"/>
      <c r="EK108" s="48"/>
      <c r="EL108" s="584"/>
      <c r="EM108" s="584"/>
      <c r="EN108" s="48"/>
      <c r="EO108" s="570"/>
      <c r="EP108" s="570"/>
      <c r="EQ108" s="570"/>
      <c r="ER108" s="570"/>
      <c r="ES108" s="391"/>
      <c r="ET108" s="570"/>
      <c r="EU108" s="570"/>
      <c r="EV108" s="570"/>
      <c r="EW108" s="570"/>
      <c r="EX108" s="570"/>
      <c r="EY108" s="570"/>
      <c r="EZ108" s="570"/>
      <c r="FA108" s="324"/>
      <c r="FB108" s="640"/>
      <c r="FC108" s="640"/>
      <c r="FD108" s="640"/>
      <c r="FE108" s="640"/>
      <c r="FF108" s="640"/>
      <c r="FG108" s="640"/>
      <c r="FH108" s="640"/>
      <c r="FI108" s="640"/>
      <c r="FJ108" s="640"/>
      <c r="FK108" s="640"/>
      <c r="FL108" s="640"/>
      <c r="FM108" s="640"/>
      <c r="FN108" s="640"/>
      <c r="FO108" s="640"/>
      <c r="FP108" s="640"/>
      <c r="FQ108" s="640"/>
      <c r="FR108" s="640"/>
      <c r="FS108" s="640"/>
      <c r="FT108" s="640"/>
      <c r="FU108" s="640"/>
      <c r="FV108" s="640"/>
      <c r="FW108" s="640"/>
      <c r="FX108" s="640"/>
      <c r="FY108" s="640"/>
      <c r="FZ108" s="640"/>
      <c r="GA108" s="640"/>
      <c r="GB108" s="640"/>
      <c r="GC108" s="640"/>
      <c r="GD108" s="640"/>
      <c r="GE108" s="640"/>
      <c r="GF108" s="324"/>
      <c r="GG108" s="324"/>
      <c r="GH108" s="324"/>
      <c r="GI108" s="324"/>
      <c r="GJ108" s="64"/>
      <c r="GK108" s="64"/>
      <c r="GL108" s="324"/>
      <c r="GM108" s="324"/>
      <c r="GN108" s="324"/>
      <c r="GO108" s="324"/>
      <c r="GP108" s="324"/>
      <c r="GQ108" s="324"/>
      <c r="GR108" s="324"/>
      <c r="GS108" s="324"/>
      <c r="GT108" s="324"/>
      <c r="HF108" s="325"/>
      <c r="HG108" s="38"/>
      <c r="HH108" s="38"/>
      <c r="HI108" s="38"/>
      <c r="HJ108" s="38"/>
      <c r="HK108" s="38"/>
      <c r="HL108" s="38"/>
      <c r="HM108" s="325"/>
      <c r="HN108" s="325"/>
    </row>
    <row r="109" spans="1:222" ht="36.75" customHeight="1">
      <c r="A109" s="324"/>
      <c r="B109" s="754"/>
      <c r="C109" s="754"/>
      <c r="D109" s="754"/>
      <c r="E109" s="754"/>
      <c r="F109" s="754"/>
      <c r="G109" s="754"/>
      <c r="H109" s="754"/>
      <c r="I109" s="754"/>
      <c r="J109" s="754"/>
      <c r="K109" s="754"/>
      <c r="L109" s="754"/>
      <c r="M109" s="754"/>
      <c r="N109" s="754"/>
      <c r="O109" s="754"/>
      <c r="P109" s="324"/>
      <c r="Q109" s="324"/>
      <c r="R109" s="324"/>
      <c r="S109" s="324"/>
      <c r="T109" s="754"/>
      <c r="U109" s="754"/>
      <c r="V109" s="754"/>
      <c r="W109" s="754"/>
      <c r="X109" s="754"/>
      <c r="Y109" s="754"/>
      <c r="Z109" s="754"/>
      <c r="AA109" s="754"/>
      <c r="AB109" s="754"/>
      <c r="AC109" s="754"/>
      <c r="AD109" s="754"/>
      <c r="AE109" s="754"/>
      <c r="AF109" s="754"/>
      <c r="AG109" s="754"/>
      <c r="AH109" s="754"/>
      <c r="AI109" s="754"/>
      <c r="AJ109" s="754"/>
      <c r="AK109" s="754"/>
      <c r="AL109" s="324"/>
      <c r="AM109" s="570"/>
      <c r="AN109" s="570"/>
      <c r="AO109" s="391"/>
      <c r="AP109" s="391"/>
      <c r="AQ109" s="391"/>
      <c r="AR109" s="391"/>
      <c r="AS109" s="391"/>
      <c r="AT109" s="391"/>
      <c r="AU109" s="391"/>
      <c r="AV109" s="391"/>
      <c r="AW109" s="391"/>
      <c r="AX109" s="391"/>
      <c r="AY109" s="391"/>
      <c r="AZ109" s="391"/>
      <c r="BA109" s="391"/>
      <c r="BB109" s="391"/>
      <c r="BC109" s="391"/>
      <c r="BD109" s="391"/>
      <c r="BE109" s="391"/>
      <c r="BF109" s="391"/>
      <c r="BG109" s="391"/>
      <c r="BH109" s="391"/>
      <c r="BI109" s="391"/>
      <c r="BJ109" s="391"/>
      <c r="BK109" s="391"/>
      <c r="BM109" s="391"/>
      <c r="BN109" s="391"/>
      <c r="BO109" s="391"/>
      <c r="BP109" s="391"/>
      <c r="BQ109" s="391"/>
      <c r="BR109" s="391"/>
      <c r="BS109" s="391"/>
      <c r="BT109" s="391"/>
      <c r="BU109" s="391"/>
      <c r="BV109" s="570"/>
      <c r="BW109" s="570"/>
      <c r="BX109" s="570"/>
      <c r="BY109" s="570"/>
      <c r="BZ109" s="570"/>
      <c r="CA109" s="570"/>
      <c r="CB109" s="570"/>
      <c r="CC109" s="570"/>
      <c r="CD109" s="391"/>
      <c r="CE109" s="570"/>
      <c r="CF109" s="570"/>
      <c r="CG109" s="570"/>
      <c r="CH109" s="570"/>
      <c r="CI109" s="570"/>
      <c r="CJ109" s="391"/>
      <c r="CK109" s="570"/>
      <c r="CL109" s="570"/>
      <c r="CM109" s="570"/>
      <c r="CN109" s="570"/>
      <c r="CO109" s="570"/>
      <c r="CP109" s="391"/>
      <c r="CQ109" s="570"/>
      <c r="CR109" s="570"/>
      <c r="CS109" s="570"/>
      <c r="CT109" s="570"/>
      <c r="CU109" s="570"/>
      <c r="CV109" s="391"/>
      <c r="CW109" s="570"/>
      <c r="CX109" s="570"/>
      <c r="CY109" s="570"/>
      <c r="CZ109" s="570"/>
      <c r="DA109" s="570"/>
      <c r="DB109" s="391"/>
      <c r="DC109" s="754"/>
      <c r="DD109" s="754"/>
      <c r="DE109" s="754"/>
      <c r="DF109" s="754"/>
      <c r="DG109" s="754"/>
      <c r="DH109" s="754"/>
      <c r="DI109" s="754"/>
      <c r="DJ109" s="754"/>
      <c r="DK109" s="754"/>
      <c r="DL109" s="754"/>
      <c r="DM109" s="754"/>
      <c r="DN109" s="754"/>
      <c r="DO109" s="754"/>
      <c r="DP109" s="754"/>
      <c r="DQ109" s="754"/>
      <c r="DR109" s="754"/>
      <c r="DS109" s="754"/>
      <c r="DT109" s="754"/>
      <c r="DU109" s="324"/>
      <c r="DV109" s="570"/>
      <c r="DW109" s="570"/>
      <c r="DX109" s="570"/>
      <c r="DY109" s="48"/>
      <c r="DZ109" s="584"/>
      <c r="EA109" s="48"/>
      <c r="EB109" s="48"/>
      <c r="EC109" s="48"/>
      <c r="ED109" s="48"/>
      <c r="EE109" s="48"/>
      <c r="EF109" s="584"/>
      <c r="EG109" s="48"/>
      <c r="EH109" s="48"/>
      <c r="EI109" s="48"/>
      <c r="EJ109" s="48"/>
      <c r="EK109" s="48"/>
      <c r="EL109" s="584"/>
      <c r="EM109" s="584"/>
      <c r="EN109" s="48"/>
      <c r="EO109" s="570"/>
      <c r="EP109" s="570"/>
      <c r="EQ109" s="570"/>
      <c r="ER109" s="570"/>
      <c r="ES109" s="391"/>
      <c r="ET109" s="570"/>
      <c r="EU109" s="645"/>
      <c r="EV109" s="645"/>
      <c r="EW109" s="645"/>
      <c r="EX109" s="645"/>
      <c r="EY109" s="570"/>
      <c r="EZ109" s="570"/>
      <c r="FA109" s="324"/>
      <c r="FB109" s="754"/>
      <c r="FC109" s="754"/>
      <c r="FD109" s="754"/>
      <c r="FE109" s="754"/>
      <c r="FF109" s="754"/>
      <c r="FG109" s="754"/>
      <c r="FH109" s="754"/>
      <c r="FI109" s="754"/>
      <c r="FJ109" s="754"/>
      <c r="FK109" s="754"/>
      <c r="FL109" s="754"/>
      <c r="FM109" s="754"/>
      <c r="FN109" s="754"/>
      <c r="FO109" s="754"/>
      <c r="FP109" s="754"/>
      <c r="FQ109" s="754"/>
      <c r="FR109" s="754"/>
      <c r="FS109" s="754"/>
      <c r="FT109" s="754"/>
      <c r="FU109" s="754"/>
      <c r="FV109" s="754"/>
      <c r="FW109" s="754"/>
      <c r="FX109" s="754"/>
      <c r="FY109" s="754"/>
      <c r="FZ109" s="754"/>
      <c r="GA109" s="754"/>
      <c r="GB109" s="754"/>
      <c r="GC109" s="754"/>
      <c r="GD109" s="754"/>
      <c r="GE109" s="754"/>
      <c r="GF109" s="324"/>
      <c r="GG109" s="324"/>
      <c r="GH109" s="324"/>
      <c r="GI109" s="324"/>
      <c r="GJ109" s="1045"/>
      <c r="GK109" s="1045"/>
      <c r="GL109" s="324"/>
      <c r="GM109" s="324"/>
      <c r="GN109" s="324"/>
      <c r="GO109" s="324"/>
      <c r="GP109" s="324"/>
      <c r="GQ109" s="324"/>
      <c r="GR109" s="324"/>
      <c r="GS109" s="324"/>
      <c r="GT109" s="324"/>
      <c r="HF109" s="325"/>
      <c r="HG109" s="803"/>
      <c r="HH109" s="803"/>
      <c r="HI109" s="803"/>
      <c r="HJ109" s="803"/>
      <c r="HK109" s="803"/>
      <c r="HL109" s="803"/>
      <c r="HM109" s="325"/>
      <c r="HN109" s="325"/>
    </row>
    <row r="110" spans="1:222" ht="16.5" customHeight="1">
      <c r="A110" s="324"/>
      <c r="B110" s="324"/>
      <c r="C110" s="324"/>
      <c r="D110" s="324"/>
      <c r="E110" s="324"/>
      <c r="F110" s="324"/>
      <c r="G110" s="324"/>
      <c r="H110" s="324"/>
      <c r="I110" s="324"/>
      <c r="J110" s="324"/>
      <c r="K110" s="324"/>
      <c r="L110" s="324"/>
      <c r="M110" s="324"/>
      <c r="N110" s="324"/>
      <c r="O110" s="324"/>
      <c r="P110" s="324"/>
      <c r="Q110" s="324"/>
      <c r="R110" s="324"/>
      <c r="S110" s="324"/>
      <c r="T110" s="754"/>
      <c r="U110" s="754"/>
      <c r="V110" s="754"/>
      <c r="W110" s="754"/>
      <c r="X110" s="754"/>
      <c r="Y110" s="754"/>
      <c r="Z110" s="754"/>
      <c r="AA110" s="754"/>
      <c r="AB110" s="754"/>
      <c r="AC110" s="754"/>
      <c r="AD110" s="754"/>
      <c r="AE110" s="754"/>
      <c r="AF110" s="754"/>
      <c r="AG110" s="754"/>
      <c r="AH110" s="754"/>
      <c r="AI110" s="754"/>
      <c r="AJ110" s="754"/>
      <c r="AK110" s="754"/>
      <c r="AL110" s="324"/>
      <c r="AM110" s="570"/>
      <c r="AN110" s="570"/>
      <c r="AO110" s="391"/>
      <c r="AP110" s="391"/>
      <c r="AQ110" s="391"/>
      <c r="AR110" s="391"/>
      <c r="AS110" s="391"/>
      <c r="AT110" s="391"/>
      <c r="AU110" s="391"/>
      <c r="AV110" s="391"/>
      <c r="AW110" s="391"/>
      <c r="AX110" s="391"/>
      <c r="AY110" s="391"/>
      <c r="AZ110" s="391"/>
      <c r="BA110" s="391"/>
      <c r="BB110" s="391"/>
      <c r="BC110" s="391"/>
      <c r="BD110" s="391"/>
      <c r="BE110" s="391"/>
      <c r="BF110" s="391"/>
      <c r="BG110" s="391"/>
      <c r="BH110" s="391"/>
      <c r="BI110" s="391"/>
      <c r="BJ110" s="391"/>
      <c r="BK110" s="391"/>
      <c r="BM110" s="391"/>
      <c r="BN110" s="391"/>
      <c r="BO110" s="391"/>
      <c r="BP110" s="391"/>
      <c r="BQ110" s="391"/>
      <c r="BR110" s="391"/>
      <c r="BS110" s="391"/>
      <c r="BT110" s="391"/>
      <c r="BU110" s="391"/>
      <c r="BV110" s="570"/>
      <c r="BW110" s="570"/>
      <c r="BX110" s="570"/>
      <c r="BY110" s="570"/>
      <c r="BZ110" s="570"/>
      <c r="CA110" s="570"/>
      <c r="CB110" s="570"/>
      <c r="CC110" s="570"/>
      <c r="CD110" s="391"/>
      <c r="CE110" s="570"/>
      <c r="CF110" s="570"/>
      <c r="CG110" s="570"/>
      <c r="CH110" s="570"/>
      <c r="CI110" s="570"/>
      <c r="CJ110" s="391"/>
      <c r="CK110" s="570"/>
      <c r="CL110" s="570"/>
      <c r="CM110" s="570"/>
      <c r="CN110" s="570"/>
      <c r="CO110" s="570"/>
      <c r="CP110" s="391"/>
      <c r="CQ110" s="570"/>
      <c r="CR110" s="570"/>
      <c r="CS110" s="570"/>
      <c r="CT110" s="570"/>
      <c r="CU110" s="570"/>
      <c r="CV110" s="391"/>
      <c r="CW110" s="570"/>
      <c r="CX110" s="570"/>
      <c r="CY110" s="570"/>
      <c r="CZ110" s="570"/>
      <c r="DA110" s="570"/>
      <c r="DB110" s="391"/>
      <c r="DC110" s="754"/>
      <c r="DD110" s="754"/>
      <c r="DE110" s="754"/>
      <c r="DF110" s="754"/>
      <c r="DG110" s="754"/>
      <c r="DH110" s="754"/>
      <c r="DI110" s="754"/>
      <c r="DJ110" s="754"/>
      <c r="DK110" s="754"/>
      <c r="DL110" s="754"/>
      <c r="DM110" s="754"/>
      <c r="DN110" s="754"/>
      <c r="DO110" s="754"/>
      <c r="DP110" s="754"/>
      <c r="DQ110" s="754"/>
      <c r="DR110" s="754"/>
      <c r="DS110" s="754"/>
      <c r="DT110" s="754"/>
      <c r="DU110" s="324"/>
      <c r="DV110" s="570"/>
      <c r="DW110" s="570"/>
      <c r="DX110" s="570"/>
      <c r="DY110" s="48"/>
      <c r="DZ110" s="584"/>
      <c r="EA110" s="48"/>
      <c r="EB110" s="48"/>
      <c r="EC110" s="48"/>
      <c r="ED110" s="48"/>
      <c r="EE110" s="48"/>
      <c r="EF110" s="584"/>
      <c r="EG110" s="48"/>
      <c r="EH110" s="48"/>
      <c r="EI110" s="48"/>
      <c r="EJ110" s="48"/>
      <c r="EK110" s="48"/>
      <c r="EL110" s="584"/>
      <c r="EM110" s="584"/>
      <c r="EN110" s="48"/>
      <c r="EO110" s="570"/>
      <c r="EP110" s="570"/>
      <c r="EQ110" s="570"/>
      <c r="ER110" s="570"/>
      <c r="ES110" s="391"/>
      <c r="ET110" s="570"/>
      <c r="EU110" s="324"/>
      <c r="EV110" s="324"/>
      <c r="EW110" s="324"/>
      <c r="EX110" s="324"/>
      <c r="EY110" s="570"/>
      <c r="EZ110" s="570"/>
      <c r="FA110" s="324"/>
      <c r="FB110" s="754"/>
      <c r="FC110" s="754"/>
      <c r="FD110" s="754"/>
      <c r="FE110" s="754"/>
      <c r="FF110" s="754"/>
      <c r="FG110" s="754"/>
      <c r="FH110" s="754"/>
      <c r="FI110" s="754"/>
      <c r="FJ110" s="754"/>
      <c r="FK110" s="754"/>
      <c r="FL110" s="754"/>
      <c r="FM110" s="754"/>
      <c r="FN110" s="754"/>
      <c r="FO110" s="754"/>
      <c r="FP110" s="754"/>
      <c r="FQ110" s="754"/>
      <c r="FR110" s="754"/>
      <c r="FS110" s="754"/>
      <c r="FT110" s="754"/>
      <c r="FU110" s="754"/>
      <c r="FV110" s="754"/>
      <c r="FW110" s="754"/>
      <c r="FX110" s="754"/>
      <c r="FY110" s="754"/>
      <c r="FZ110" s="754"/>
      <c r="GA110" s="754"/>
      <c r="GB110" s="754"/>
      <c r="GC110" s="754"/>
      <c r="GD110" s="754"/>
      <c r="GE110" s="754"/>
      <c r="GF110" s="324"/>
      <c r="GG110" s="324"/>
      <c r="GH110" s="324"/>
      <c r="GI110" s="324"/>
      <c r="GJ110" s="63"/>
      <c r="GK110" s="64"/>
      <c r="GL110" s="324"/>
      <c r="GM110" s="324"/>
      <c r="GN110" s="324"/>
      <c r="GO110" s="324"/>
      <c r="GP110" s="324"/>
      <c r="GQ110" s="324"/>
      <c r="GR110" s="324"/>
      <c r="GS110" s="324"/>
      <c r="GT110" s="324"/>
      <c r="HF110" s="325"/>
      <c r="HG110" s="803"/>
      <c r="HH110" s="803"/>
      <c r="HI110" s="803"/>
      <c r="HJ110" s="803"/>
      <c r="HK110" s="803"/>
      <c r="HL110" s="803"/>
      <c r="HM110" s="325"/>
      <c r="HN110" s="325"/>
    </row>
    <row r="111" spans="1:220" ht="16.5" customHeight="1">
      <c r="A111" s="324"/>
      <c r="B111" s="448"/>
      <c r="C111" s="448"/>
      <c r="D111" s="448"/>
      <c r="E111" s="448"/>
      <c r="F111" s="448"/>
      <c r="G111" s="448"/>
      <c r="H111" s="448"/>
      <c r="I111" s="448"/>
      <c r="J111" s="448"/>
      <c r="K111" s="448"/>
      <c r="L111" s="448"/>
      <c r="M111" s="448"/>
      <c r="N111" s="448"/>
      <c r="O111" s="448"/>
      <c r="P111" s="324"/>
      <c r="Q111" s="645"/>
      <c r="R111" s="645"/>
      <c r="S111" s="324"/>
      <c r="T111" s="448"/>
      <c r="U111" s="448"/>
      <c r="V111" s="448"/>
      <c r="W111" s="448"/>
      <c r="X111" s="448"/>
      <c r="Y111" s="448"/>
      <c r="Z111" s="448"/>
      <c r="AA111" s="448"/>
      <c r="AB111" s="448"/>
      <c r="AC111" s="448"/>
      <c r="AD111" s="448"/>
      <c r="AE111" s="448"/>
      <c r="AF111" s="448"/>
      <c r="AG111" s="448"/>
      <c r="AH111" s="324"/>
      <c r="AI111" s="324"/>
      <c r="AJ111" s="324"/>
      <c r="AK111" s="324"/>
      <c r="AL111" s="324"/>
      <c r="AM111" s="570"/>
      <c r="AN111" s="570"/>
      <c r="AO111" s="391"/>
      <c r="AP111" s="391"/>
      <c r="AQ111" s="391"/>
      <c r="AR111" s="391"/>
      <c r="AS111" s="391"/>
      <c r="AT111" s="391"/>
      <c r="AU111" s="391"/>
      <c r="AV111" s="391"/>
      <c r="AW111" s="391"/>
      <c r="AX111" s="391"/>
      <c r="AY111" s="391"/>
      <c r="AZ111" s="391"/>
      <c r="BA111" s="391"/>
      <c r="BB111" s="391"/>
      <c r="BC111" s="391"/>
      <c r="BD111" s="391"/>
      <c r="BE111" s="391"/>
      <c r="BF111" s="391"/>
      <c r="BG111" s="391"/>
      <c r="BH111" s="391"/>
      <c r="BI111" s="391"/>
      <c r="BJ111" s="391"/>
      <c r="BK111" s="391"/>
      <c r="BM111" s="391"/>
      <c r="BN111" s="391"/>
      <c r="BO111" s="391"/>
      <c r="BP111" s="391"/>
      <c r="BQ111" s="391"/>
      <c r="BR111" s="391"/>
      <c r="BS111" s="391"/>
      <c r="BT111" s="391"/>
      <c r="BU111" s="391"/>
      <c r="BV111" s="570"/>
      <c r="BW111" s="570"/>
      <c r="BX111" s="570"/>
      <c r="BY111" s="570"/>
      <c r="BZ111" s="570"/>
      <c r="CA111" s="570"/>
      <c r="CB111" s="570"/>
      <c r="CC111" s="570"/>
      <c r="CD111" s="391"/>
      <c r="CE111" s="570"/>
      <c r="CF111" s="570"/>
      <c r="CG111" s="570"/>
      <c r="CH111" s="570"/>
      <c r="CI111" s="570"/>
      <c r="CJ111" s="391"/>
      <c r="CK111" s="570"/>
      <c r="CL111" s="570"/>
      <c r="CM111" s="570"/>
      <c r="CN111" s="570"/>
      <c r="CO111" s="570"/>
      <c r="CP111" s="391"/>
      <c r="CQ111" s="570"/>
      <c r="CR111" s="570"/>
      <c r="CS111" s="570"/>
      <c r="CT111" s="570"/>
      <c r="CU111" s="570"/>
      <c r="CV111" s="391"/>
      <c r="CW111" s="570"/>
      <c r="CX111" s="570"/>
      <c r="CY111" s="570"/>
      <c r="CZ111" s="570"/>
      <c r="DA111" s="570"/>
      <c r="DB111" s="391"/>
      <c r="DC111" s="448"/>
      <c r="DD111" s="448"/>
      <c r="DE111" s="448"/>
      <c r="DF111" s="448"/>
      <c r="DG111" s="448"/>
      <c r="DH111" s="448"/>
      <c r="DI111" s="448"/>
      <c r="DJ111" s="448"/>
      <c r="DK111" s="448"/>
      <c r="DL111" s="448"/>
      <c r="DM111" s="448"/>
      <c r="DN111" s="448"/>
      <c r="DO111" s="448"/>
      <c r="DP111" s="448"/>
      <c r="DQ111" s="324"/>
      <c r="DR111" s="324"/>
      <c r="DS111" s="324"/>
      <c r="DT111" s="324"/>
      <c r="DU111" s="324"/>
      <c r="DV111" s="570"/>
      <c r="DW111" s="570"/>
      <c r="DX111" s="570"/>
      <c r="EO111" s="570"/>
      <c r="EP111" s="570"/>
      <c r="EQ111" s="570"/>
      <c r="ER111" s="570"/>
      <c r="ES111" s="391"/>
      <c r="ET111" s="570"/>
      <c r="EU111" s="570"/>
      <c r="EV111" s="570"/>
      <c r="EW111" s="570"/>
      <c r="EX111" s="570"/>
      <c r="EY111" s="570"/>
      <c r="EZ111" s="570"/>
      <c r="FA111" s="324"/>
      <c r="FB111" s="448"/>
      <c r="FC111" s="448"/>
      <c r="FD111" s="448"/>
      <c r="FE111" s="448"/>
      <c r="FF111" s="448"/>
      <c r="FG111" s="448"/>
      <c r="FH111" s="448"/>
      <c r="FI111" s="448"/>
      <c r="FJ111" s="448"/>
      <c r="FK111" s="448"/>
      <c r="FL111" s="448"/>
      <c r="FM111" s="448"/>
      <c r="FN111" s="448"/>
      <c r="FO111" s="448"/>
      <c r="FP111" s="448"/>
      <c r="FQ111" s="448"/>
      <c r="FR111" s="448"/>
      <c r="FS111" s="448"/>
      <c r="FT111" s="448"/>
      <c r="FU111" s="448"/>
      <c r="FV111" s="448"/>
      <c r="FW111" s="448"/>
      <c r="FX111" s="448"/>
      <c r="FY111" s="448"/>
      <c r="FZ111" s="448"/>
      <c r="GA111" s="448"/>
      <c r="GB111" s="324"/>
      <c r="GC111" s="324"/>
      <c r="GD111" s="324"/>
      <c r="GE111" s="324"/>
      <c r="GF111" s="324"/>
      <c r="GG111" s="324"/>
      <c r="GH111" s="324"/>
      <c r="GI111" s="324"/>
      <c r="GJ111" s="64"/>
      <c r="GK111" s="64"/>
      <c r="GL111" s="324"/>
      <c r="GM111" s="324"/>
      <c r="GN111" s="324"/>
      <c r="GO111" s="324"/>
      <c r="GP111" s="324"/>
      <c r="GQ111" s="324"/>
      <c r="GR111" s="324"/>
      <c r="GS111" s="324"/>
      <c r="GT111" s="324"/>
      <c r="HG111" s="448"/>
      <c r="HH111" s="448"/>
      <c r="HI111" s="448"/>
      <c r="HJ111" s="448"/>
      <c r="HK111" s="448"/>
      <c r="HL111" s="448"/>
    </row>
    <row r="112" spans="1:220" ht="24.75" customHeight="1">
      <c r="A112" s="324"/>
      <c r="B112" s="373"/>
      <c r="C112" s="756"/>
      <c r="D112" s="673"/>
      <c r="E112" s="757"/>
      <c r="F112" s="757"/>
      <c r="G112" s="757"/>
      <c r="H112" s="757"/>
      <c r="I112" s="757"/>
      <c r="J112" s="373"/>
      <c r="K112" s="373"/>
      <c r="L112" s="373"/>
      <c r="M112" s="373"/>
      <c r="N112" s="756"/>
      <c r="O112" s="758"/>
      <c r="P112" s="324"/>
      <c r="Q112" s="645"/>
      <c r="R112" s="645"/>
      <c r="S112" s="324"/>
      <c r="T112" s="756"/>
      <c r="U112" s="673"/>
      <c r="V112" s="757"/>
      <c r="W112" s="757"/>
      <c r="X112" s="757"/>
      <c r="Y112" s="757"/>
      <c r="Z112" s="757"/>
      <c r="AA112" s="373"/>
      <c r="AB112" s="373"/>
      <c r="AC112" s="373"/>
      <c r="AD112" s="373"/>
      <c r="AE112" s="757"/>
      <c r="AF112" s="757"/>
      <c r="AG112" s="757"/>
      <c r="AH112" s="51"/>
      <c r="AI112" s="772"/>
      <c r="AJ112" s="772"/>
      <c r="AK112" s="772"/>
      <c r="AL112" s="324"/>
      <c r="AM112" s="570"/>
      <c r="AN112" s="570"/>
      <c r="AO112" s="391"/>
      <c r="AP112" s="391"/>
      <c r="AQ112" s="391"/>
      <c r="AR112" s="391"/>
      <c r="AS112" s="391"/>
      <c r="AT112" s="391"/>
      <c r="AU112" s="391"/>
      <c r="AV112" s="391"/>
      <c r="AW112" s="391"/>
      <c r="AX112" s="391"/>
      <c r="AY112" s="391"/>
      <c r="AZ112" s="391"/>
      <c r="BA112" s="391"/>
      <c r="BB112" s="391"/>
      <c r="BC112" s="391"/>
      <c r="BD112" s="391"/>
      <c r="BE112" s="391"/>
      <c r="BF112" s="391"/>
      <c r="BG112" s="391"/>
      <c r="BH112" s="391"/>
      <c r="BI112" s="391"/>
      <c r="BJ112" s="391"/>
      <c r="BK112" s="391"/>
      <c r="BM112" s="391"/>
      <c r="BN112" s="391"/>
      <c r="BO112" s="391"/>
      <c r="BP112" s="391"/>
      <c r="BQ112" s="391"/>
      <c r="BR112" s="391"/>
      <c r="BS112" s="391"/>
      <c r="BT112" s="391"/>
      <c r="BU112" s="391"/>
      <c r="BV112" s="570"/>
      <c r="BW112" s="570"/>
      <c r="BX112" s="570"/>
      <c r="BY112" s="570"/>
      <c r="BZ112" s="570"/>
      <c r="CA112" s="570"/>
      <c r="CB112" s="570"/>
      <c r="CC112" s="570"/>
      <c r="CD112" s="391"/>
      <c r="CE112" s="570"/>
      <c r="CF112" s="570"/>
      <c r="CG112" s="570"/>
      <c r="CH112" s="570"/>
      <c r="CI112" s="570"/>
      <c r="CJ112" s="391"/>
      <c r="CK112" s="570"/>
      <c r="CL112" s="570"/>
      <c r="CM112" s="570"/>
      <c r="CN112" s="570"/>
      <c r="CO112" s="570"/>
      <c r="CP112" s="391"/>
      <c r="CQ112" s="570"/>
      <c r="CR112" s="570"/>
      <c r="CS112" s="570"/>
      <c r="CT112" s="570"/>
      <c r="CU112" s="570"/>
      <c r="CV112" s="391"/>
      <c r="CW112" s="570"/>
      <c r="CX112" s="570"/>
      <c r="CY112" s="570"/>
      <c r="CZ112" s="570"/>
      <c r="DA112" s="570"/>
      <c r="DB112" s="391"/>
      <c r="DC112" s="756"/>
      <c r="DD112" s="673"/>
      <c r="DE112" s="757"/>
      <c r="DF112" s="757"/>
      <c r="DG112" s="757"/>
      <c r="DH112" s="757"/>
      <c r="DI112" s="757"/>
      <c r="DJ112" s="373"/>
      <c r="DK112" s="373"/>
      <c r="DL112" s="373"/>
      <c r="DM112" s="373"/>
      <c r="DN112" s="757"/>
      <c r="DO112" s="757"/>
      <c r="DP112" s="757"/>
      <c r="DQ112" s="51"/>
      <c r="DR112" s="772"/>
      <c r="DS112" s="772"/>
      <c r="DT112" s="772"/>
      <c r="DU112" s="324"/>
      <c r="DV112" s="570"/>
      <c r="DW112" s="570"/>
      <c r="DX112" s="570"/>
      <c r="EO112" s="570"/>
      <c r="EP112" s="570"/>
      <c r="EQ112" s="570"/>
      <c r="ER112" s="570"/>
      <c r="ES112" s="391"/>
      <c r="ET112" s="570"/>
      <c r="EU112" s="255"/>
      <c r="EV112" s="324"/>
      <c r="EW112" s="324"/>
      <c r="EX112" s="324"/>
      <c r="EY112" s="568"/>
      <c r="EZ112" s="570"/>
      <c r="FA112" s="324"/>
      <c r="FB112" s="756"/>
      <c r="FC112" s="673"/>
      <c r="FD112" s="324"/>
      <c r="FE112" s="757"/>
      <c r="FF112" s="757"/>
      <c r="FG112" s="757"/>
      <c r="FH112" s="757"/>
      <c r="FI112" s="757"/>
      <c r="FJ112" s="757"/>
      <c r="FK112" s="757"/>
      <c r="FL112" s="672"/>
      <c r="FM112" s="672"/>
      <c r="FN112" s="672"/>
      <c r="FO112" s="672"/>
      <c r="FP112" s="672"/>
      <c r="FQ112" s="373"/>
      <c r="FR112" s="373"/>
      <c r="FS112" s="373"/>
      <c r="FT112" s="373"/>
      <c r="FU112" s="373"/>
      <c r="FV112" s="373"/>
      <c r="FW112" s="373"/>
      <c r="FX112" s="373"/>
      <c r="FY112" s="757"/>
      <c r="FZ112" s="757"/>
      <c r="GA112" s="757"/>
      <c r="GB112" s="51"/>
      <c r="GC112" s="772"/>
      <c r="GD112" s="772"/>
      <c r="GE112" s="772"/>
      <c r="GF112" s="324"/>
      <c r="GG112" s="324"/>
      <c r="GH112" s="324"/>
      <c r="GI112" s="324"/>
      <c r="GJ112" s="64"/>
      <c r="GK112" s="64"/>
      <c r="GL112" s="324"/>
      <c r="GM112" s="324"/>
      <c r="GN112" s="324"/>
      <c r="GO112" s="324"/>
      <c r="GP112" s="324"/>
      <c r="GQ112" s="324"/>
      <c r="GR112" s="324"/>
      <c r="GS112" s="324"/>
      <c r="GT112" s="324"/>
      <c r="HG112" s="796"/>
      <c r="HH112" s="796"/>
      <c r="HI112" s="796"/>
      <c r="HJ112" s="673"/>
      <c r="HK112" s="673"/>
      <c r="HL112" s="673"/>
    </row>
    <row r="113" spans="1:220" ht="16.5" customHeight="1">
      <c r="A113" s="324"/>
      <c r="B113" s="373"/>
      <c r="C113" s="756"/>
      <c r="D113" s="676"/>
      <c r="E113" s="676"/>
      <c r="F113" s="653"/>
      <c r="G113" s="674"/>
      <c r="H113" s="676"/>
      <c r="I113" s="676"/>
      <c r="J113" s="676"/>
      <c r="K113" s="676"/>
      <c r="L113" s="676"/>
      <c r="M113" s="676"/>
      <c r="N113" s="756"/>
      <c r="O113" s="758"/>
      <c r="P113" s="324"/>
      <c r="Q113" s="645"/>
      <c r="R113" s="645"/>
      <c r="S113" s="324"/>
      <c r="T113" s="756"/>
      <c r="U113" s="676"/>
      <c r="V113" s="676"/>
      <c r="W113" s="758"/>
      <c r="X113" s="758"/>
      <c r="Y113" s="676"/>
      <c r="Z113" s="676"/>
      <c r="AA113" s="676"/>
      <c r="AB113" s="676"/>
      <c r="AC113" s="676"/>
      <c r="AD113" s="676"/>
      <c r="AE113" s="676"/>
      <c r="AF113" s="676"/>
      <c r="AG113" s="676"/>
      <c r="AH113" s="51"/>
      <c r="AI113" s="772"/>
      <c r="AJ113" s="772"/>
      <c r="AK113" s="772"/>
      <c r="AL113" s="324"/>
      <c r="AM113" s="570"/>
      <c r="AN113" s="570"/>
      <c r="AO113" s="391"/>
      <c r="AP113" s="391"/>
      <c r="AQ113" s="391"/>
      <c r="AR113" s="391"/>
      <c r="AS113" s="391"/>
      <c r="AT113" s="391"/>
      <c r="AU113" s="391"/>
      <c r="AV113" s="391"/>
      <c r="AW113" s="391"/>
      <c r="AX113" s="391"/>
      <c r="AY113" s="391"/>
      <c r="AZ113" s="391"/>
      <c r="BA113" s="391"/>
      <c r="BB113" s="391"/>
      <c r="BC113" s="391"/>
      <c r="BD113" s="391"/>
      <c r="BE113" s="391"/>
      <c r="BF113" s="391"/>
      <c r="BG113" s="391"/>
      <c r="BH113" s="391"/>
      <c r="BI113" s="391"/>
      <c r="BJ113" s="391"/>
      <c r="BK113" s="391"/>
      <c r="BM113" s="391"/>
      <c r="BN113" s="391"/>
      <c r="BO113" s="391"/>
      <c r="BP113" s="391"/>
      <c r="BQ113" s="391"/>
      <c r="BR113" s="391"/>
      <c r="BS113" s="391"/>
      <c r="BT113" s="391"/>
      <c r="BU113" s="391"/>
      <c r="BV113" s="570"/>
      <c r="BW113" s="570"/>
      <c r="BX113" s="570"/>
      <c r="BY113" s="570"/>
      <c r="BZ113" s="570"/>
      <c r="CA113" s="570"/>
      <c r="CB113" s="570"/>
      <c r="CC113" s="570"/>
      <c r="CD113" s="391"/>
      <c r="CE113" s="570"/>
      <c r="CF113" s="570"/>
      <c r="CG113" s="570"/>
      <c r="CH113" s="570"/>
      <c r="CI113" s="570"/>
      <c r="CJ113" s="391"/>
      <c r="CK113" s="570"/>
      <c r="CL113" s="570"/>
      <c r="CM113" s="570"/>
      <c r="CN113" s="570"/>
      <c r="CO113" s="570"/>
      <c r="CP113" s="391"/>
      <c r="CQ113" s="570"/>
      <c r="CR113" s="570"/>
      <c r="CS113" s="570"/>
      <c r="CT113" s="570"/>
      <c r="CU113" s="570"/>
      <c r="CV113" s="391"/>
      <c r="CW113" s="570"/>
      <c r="CX113" s="570"/>
      <c r="CY113" s="570"/>
      <c r="CZ113" s="570"/>
      <c r="DA113" s="570"/>
      <c r="DB113" s="391"/>
      <c r="DC113" s="756"/>
      <c r="DD113" s="676"/>
      <c r="DE113" s="676"/>
      <c r="DF113" s="758"/>
      <c r="DG113" s="758"/>
      <c r="DH113" s="676"/>
      <c r="DI113" s="676"/>
      <c r="DJ113" s="676"/>
      <c r="DK113" s="676"/>
      <c r="DL113" s="676"/>
      <c r="DM113" s="676"/>
      <c r="DN113" s="676"/>
      <c r="DO113" s="676"/>
      <c r="DP113" s="676"/>
      <c r="DQ113" s="51"/>
      <c r="DR113" s="772"/>
      <c r="DS113" s="772"/>
      <c r="DT113" s="772"/>
      <c r="DU113" s="324"/>
      <c r="DV113" s="570"/>
      <c r="DW113" s="570"/>
      <c r="DX113" s="570"/>
      <c r="EO113" s="570"/>
      <c r="EP113" s="570"/>
      <c r="EQ113" s="570"/>
      <c r="ER113" s="570"/>
      <c r="ES113" s="391"/>
      <c r="ET113" s="568"/>
      <c r="EU113" s="570"/>
      <c r="EV113" s="570"/>
      <c r="EW113" s="570"/>
      <c r="EX113" s="570"/>
      <c r="EY113" s="570"/>
      <c r="EZ113" s="570"/>
      <c r="FA113" s="324"/>
      <c r="FB113" s="756"/>
      <c r="FC113" s="676"/>
      <c r="FD113" s="676"/>
      <c r="FE113" s="758"/>
      <c r="FF113" s="758"/>
      <c r="FG113" s="676"/>
      <c r="FH113" s="676"/>
      <c r="FI113" s="676"/>
      <c r="FJ113" s="676"/>
      <c r="FK113" s="676"/>
      <c r="FL113" s="674"/>
      <c r="FM113" s="674"/>
      <c r="FN113" s="674"/>
      <c r="FO113" s="674"/>
      <c r="FP113" s="674"/>
      <c r="FQ113" s="676"/>
      <c r="FR113" s="676"/>
      <c r="FS113" s="676"/>
      <c r="FT113" s="676"/>
      <c r="FU113" s="676"/>
      <c r="FV113" s="676"/>
      <c r="FW113" s="676"/>
      <c r="FX113" s="676"/>
      <c r="FY113" s="676"/>
      <c r="FZ113" s="676"/>
      <c r="GA113" s="676"/>
      <c r="GB113" s="51"/>
      <c r="GC113" s="772"/>
      <c r="GD113" s="772"/>
      <c r="GE113" s="772"/>
      <c r="GF113" s="324"/>
      <c r="GG113" s="324"/>
      <c r="GH113" s="324"/>
      <c r="GI113" s="324"/>
      <c r="GJ113" s="64"/>
      <c r="GK113" s="64"/>
      <c r="GL113" s="324"/>
      <c r="GM113" s="324"/>
      <c r="GN113" s="324"/>
      <c r="GO113" s="324"/>
      <c r="GP113" s="324"/>
      <c r="GQ113" s="324"/>
      <c r="GR113" s="324"/>
      <c r="GS113" s="324"/>
      <c r="GT113" s="324"/>
      <c r="HG113" s="796"/>
      <c r="HH113" s="796"/>
      <c r="HI113" s="796"/>
      <c r="HJ113" s="676"/>
      <c r="HK113" s="676"/>
      <c r="HL113" s="676"/>
    </row>
    <row r="114" spans="1:220" ht="16.5" customHeight="1">
      <c r="A114" s="324"/>
      <c r="B114" s="373"/>
      <c r="C114" s="756"/>
      <c r="D114" s="653"/>
      <c r="E114" s="674"/>
      <c r="F114" s="674"/>
      <c r="G114" s="674"/>
      <c r="H114" s="677"/>
      <c r="I114" s="677"/>
      <c r="J114" s="677"/>
      <c r="K114" s="677"/>
      <c r="L114" s="677"/>
      <c r="M114" s="677"/>
      <c r="N114" s="756"/>
      <c r="O114" s="758"/>
      <c r="P114" s="324"/>
      <c r="Q114" s="645"/>
      <c r="R114" s="645"/>
      <c r="S114" s="324"/>
      <c r="T114" s="756"/>
      <c r="U114" s="653"/>
      <c r="V114" s="674"/>
      <c r="W114" s="758"/>
      <c r="X114" s="758"/>
      <c r="Y114" s="677"/>
      <c r="Z114" s="677"/>
      <c r="AA114" s="677"/>
      <c r="AB114" s="677"/>
      <c r="AC114" s="677"/>
      <c r="AD114" s="677"/>
      <c r="AE114" s="676"/>
      <c r="AF114" s="674"/>
      <c r="AG114" s="674"/>
      <c r="AH114" s="51"/>
      <c r="AI114" s="772"/>
      <c r="AJ114" s="772"/>
      <c r="AK114" s="772"/>
      <c r="AL114" s="324"/>
      <c r="AM114" s="570"/>
      <c r="AN114" s="570"/>
      <c r="AO114" s="391"/>
      <c r="AP114" s="391"/>
      <c r="AQ114" s="391"/>
      <c r="AR114" s="391"/>
      <c r="AS114" s="391"/>
      <c r="AT114" s="391"/>
      <c r="AU114" s="391"/>
      <c r="AV114" s="391"/>
      <c r="AW114" s="391"/>
      <c r="AX114" s="391"/>
      <c r="AY114" s="391"/>
      <c r="AZ114" s="391"/>
      <c r="BA114" s="391"/>
      <c r="BB114" s="391"/>
      <c r="BC114" s="391"/>
      <c r="BD114" s="391"/>
      <c r="BE114" s="391"/>
      <c r="BF114" s="391"/>
      <c r="BG114" s="391"/>
      <c r="BH114" s="391"/>
      <c r="BI114" s="391"/>
      <c r="BJ114" s="391"/>
      <c r="BK114" s="391"/>
      <c r="BM114" s="391"/>
      <c r="BN114" s="391"/>
      <c r="BO114" s="391"/>
      <c r="BP114" s="391"/>
      <c r="BQ114" s="391"/>
      <c r="BR114" s="391"/>
      <c r="BS114" s="391"/>
      <c r="BT114" s="391"/>
      <c r="BU114" s="391"/>
      <c r="BV114" s="570"/>
      <c r="BW114" s="570"/>
      <c r="BX114" s="792"/>
      <c r="BY114" s="792"/>
      <c r="BZ114" s="792"/>
      <c r="CA114" s="570"/>
      <c r="CB114" s="570"/>
      <c r="CC114" s="570"/>
      <c r="CD114" s="391"/>
      <c r="CE114" s="570"/>
      <c r="CF114" s="570"/>
      <c r="CG114" s="570"/>
      <c r="CH114" s="570"/>
      <c r="CI114" s="570"/>
      <c r="CJ114" s="391"/>
      <c r="CK114" s="570"/>
      <c r="CL114" s="570"/>
      <c r="CM114" s="570"/>
      <c r="CN114" s="570"/>
      <c r="CO114" s="570"/>
      <c r="CP114" s="391"/>
      <c r="CQ114" s="570"/>
      <c r="CR114" s="570"/>
      <c r="CS114" s="570"/>
      <c r="CT114" s="570"/>
      <c r="CU114" s="570"/>
      <c r="CV114" s="391"/>
      <c r="CW114" s="570"/>
      <c r="CX114" s="570"/>
      <c r="CY114" s="570"/>
      <c r="CZ114" s="570"/>
      <c r="DA114" s="570"/>
      <c r="DB114" s="391"/>
      <c r="DC114" s="756"/>
      <c r="DD114" s="653"/>
      <c r="DE114" s="674"/>
      <c r="DF114" s="758"/>
      <c r="DG114" s="758"/>
      <c r="DH114" s="677"/>
      <c r="DI114" s="677"/>
      <c r="DJ114" s="677"/>
      <c r="DK114" s="677"/>
      <c r="DL114" s="677"/>
      <c r="DM114" s="677"/>
      <c r="DN114" s="676"/>
      <c r="DO114" s="674"/>
      <c r="DP114" s="674"/>
      <c r="DQ114" s="51"/>
      <c r="DR114" s="772"/>
      <c r="DS114" s="772"/>
      <c r="DT114" s="772"/>
      <c r="DU114" s="324"/>
      <c r="DV114" s="570"/>
      <c r="DW114" s="570"/>
      <c r="DX114" s="570"/>
      <c r="EO114" s="570"/>
      <c r="EP114" s="570"/>
      <c r="EQ114" s="570"/>
      <c r="ER114" s="570"/>
      <c r="ES114" s="391"/>
      <c r="ET114" s="568"/>
      <c r="EU114" s="570"/>
      <c r="EV114" s="570"/>
      <c r="EW114" s="570"/>
      <c r="EX114" s="570"/>
      <c r="EY114" s="570"/>
      <c r="EZ114" s="570"/>
      <c r="FA114" s="324"/>
      <c r="FB114" s="756"/>
      <c r="FC114" s="653"/>
      <c r="FD114" s="674"/>
      <c r="FE114" s="758"/>
      <c r="FF114" s="758"/>
      <c r="FG114" s="677"/>
      <c r="FH114" s="677"/>
      <c r="FI114" s="677"/>
      <c r="FJ114" s="677"/>
      <c r="FK114" s="677"/>
      <c r="FL114" s="677"/>
      <c r="FM114" s="677"/>
      <c r="FN114" s="677"/>
      <c r="FO114" s="677"/>
      <c r="FP114" s="677"/>
      <c r="FQ114" s="677"/>
      <c r="FR114" s="677"/>
      <c r="FS114" s="677"/>
      <c r="FT114" s="677"/>
      <c r="FU114" s="677"/>
      <c r="FV114" s="677"/>
      <c r="FW114" s="677"/>
      <c r="FX114" s="677"/>
      <c r="FY114" s="676"/>
      <c r="FZ114" s="674"/>
      <c r="GA114" s="674"/>
      <c r="GB114" s="51"/>
      <c r="GC114" s="772"/>
      <c r="GD114" s="772"/>
      <c r="GE114" s="772"/>
      <c r="GF114" s="324"/>
      <c r="GG114" s="324"/>
      <c r="GH114" s="324"/>
      <c r="GI114" s="324"/>
      <c r="GJ114" s="64"/>
      <c r="GK114" s="64"/>
      <c r="GL114" s="324"/>
      <c r="GM114" s="324"/>
      <c r="GN114" s="324"/>
      <c r="GO114" s="324"/>
      <c r="GP114" s="324"/>
      <c r="GQ114" s="324"/>
      <c r="GR114" s="324"/>
      <c r="GS114" s="324"/>
      <c r="GT114" s="324"/>
      <c r="HG114" s="796"/>
      <c r="HH114" s="796"/>
      <c r="HI114" s="796"/>
      <c r="HJ114" s="653"/>
      <c r="HK114" s="653"/>
      <c r="HL114" s="653"/>
    </row>
    <row r="115" spans="1:220" ht="15.75" customHeight="1">
      <c r="A115" s="324"/>
      <c r="B115" s="652"/>
      <c r="C115" s="759"/>
      <c r="D115" s="890"/>
      <c r="E115" s="742"/>
      <c r="F115" s="738"/>
      <c r="G115" s="739"/>
      <c r="H115" s="739"/>
      <c r="I115" s="740"/>
      <c r="J115" s="680"/>
      <c r="K115" s="680"/>
      <c r="L115" s="680"/>
      <c r="M115" s="680"/>
      <c r="N115" s="588"/>
      <c r="O115" s="588"/>
      <c r="P115" s="324"/>
      <c r="Q115" s="324"/>
      <c r="R115" s="324"/>
      <c r="S115" s="324"/>
      <c r="T115" s="759"/>
      <c r="U115" s="684"/>
      <c r="V115" s="672"/>
      <c r="W115" s="738"/>
      <c r="X115" s="739"/>
      <c r="Y115" s="685"/>
      <c r="Z115" s="685"/>
      <c r="AA115" s="587"/>
      <c r="AB115" s="587"/>
      <c r="AC115" s="587"/>
      <c r="AD115" s="587"/>
      <c r="AE115" s="588"/>
      <c r="AF115" s="588"/>
      <c r="AG115" s="588"/>
      <c r="AH115" s="51"/>
      <c r="AI115" s="773"/>
      <c r="AJ115" s="773"/>
      <c r="AK115" s="773"/>
      <c r="AL115" s="324"/>
      <c r="AM115" s="570"/>
      <c r="AN115" s="589"/>
      <c r="AO115" s="391"/>
      <c r="AP115" s="391"/>
      <c r="AQ115" s="391"/>
      <c r="AR115" s="391"/>
      <c r="AS115" s="587"/>
      <c r="AT115" s="587"/>
      <c r="AU115" s="587"/>
      <c r="AV115" s="587"/>
      <c r="AW115" s="588"/>
      <c r="AX115" s="391"/>
      <c r="AY115" s="589"/>
      <c r="AZ115" s="391"/>
      <c r="BA115" s="585"/>
      <c r="BB115" s="585"/>
      <c r="BC115" s="585"/>
      <c r="BD115" s="585"/>
      <c r="BE115" s="391"/>
      <c r="BF115" s="391"/>
      <c r="BG115" s="391"/>
      <c r="BH115" s="391"/>
      <c r="BI115" s="391"/>
      <c r="BJ115" s="391"/>
      <c r="BK115" s="391"/>
      <c r="BM115" s="391"/>
      <c r="BN115" s="391"/>
      <c r="BO115" s="391"/>
      <c r="BP115" s="391"/>
      <c r="BQ115" s="391"/>
      <c r="BR115" s="391"/>
      <c r="BS115" s="391"/>
      <c r="BT115" s="391"/>
      <c r="BU115" s="391"/>
      <c r="BV115" s="570"/>
      <c r="BW115" s="570"/>
      <c r="BX115" s="792"/>
      <c r="BY115" s="792"/>
      <c r="BZ115" s="792"/>
      <c r="CA115" s="738"/>
      <c r="CB115" s="739"/>
      <c r="CC115" s="685"/>
      <c r="CD115" s="685"/>
      <c r="CE115" s="587"/>
      <c r="CF115" s="587"/>
      <c r="CG115" s="587"/>
      <c r="CH115" s="587"/>
      <c r="CI115" s="588"/>
      <c r="CJ115" s="588"/>
      <c r="CK115" s="588"/>
      <c r="CL115" s="570"/>
      <c r="CM115" s="570"/>
      <c r="CN115" s="570"/>
      <c r="CO115" s="570"/>
      <c r="CP115" s="391"/>
      <c r="CQ115" s="570"/>
      <c r="CR115" s="570"/>
      <c r="CS115" s="570"/>
      <c r="CT115" s="570"/>
      <c r="CU115" s="570"/>
      <c r="CV115" s="391"/>
      <c r="CW115" s="570"/>
      <c r="CX115" s="570"/>
      <c r="CY115" s="570"/>
      <c r="CZ115" s="570"/>
      <c r="DA115" s="570"/>
      <c r="DB115" s="391"/>
      <c r="DC115" s="759"/>
      <c r="DD115" s="684"/>
      <c r="DE115" s="672"/>
      <c r="DF115" s="738"/>
      <c r="DG115" s="739"/>
      <c r="DH115" s="685"/>
      <c r="DI115" s="685"/>
      <c r="DJ115" s="741"/>
      <c r="DK115" s="741"/>
      <c r="DL115" s="741"/>
      <c r="DM115" s="741"/>
      <c r="DN115" s="588"/>
      <c r="DO115" s="588"/>
      <c r="DP115" s="588"/>
      <c r="DQ115" s="51"/>
      <c r="DR115" s="773"/>
      <c r="DS115" s="773"/>
      <c r="DT115" s="773"/>
      <c r="DU115" s="324"/>
      <c r="DV115" s="570"/>
      <c r="DW115" s="570"/>
      <c r="DX115" s="570"/>
      <c r="EO115" s="570"/>
      <c r="EP115" s="570"/>
      <c r="EQ115" s="570"/>
      <c r="ER115" s="570"/>
      <c r="ES115" s="391"/>
      <c r="ET115" s="570"/>
      <c r="EU115" s="255"/>
      <c r="EV115" s="255"/>
      <c r="EW115" s="255"/>
      <c r="EX115" s="255"/>
      <c r="EY115" s="570"/>
      <c r="EZ115" s="570"/>
      <c r="FA115" s="324"/>
      <c r="FB115" s="324"/>
      <c r="FC115" s="684"/>
      <c r="FD115" s="759"/>
      <c r="FE115" s="738"/>
      <c r="FF115" s="739"/>
      <c r="FG115" s="685"/>
      <c r="FH115" s="685"/>
      <c r="FI115" s="685"/>
      <c r="FJ115" s="685"/>
      <c r="FK115" s="685"/>
      <c r="FL115" s="685"/>
      <c r="FM115" s="685"/>
      <c r="FN115" s="685"/>
      <c r="FO115" s="685"/>
      <c r="FP115" s="685"/>
      <c r="FQ115" s="741"/>
      <c r="FR115" s="741"/>
      <c r="FS115" s="741"/>
      <c r="FT115" s="741"/>
      <c r="FU115" s="741"/>
      <c r="FV115" s="741"/>
      <c r="FW115" s="741"/>
      <c r="FX115" s="741"/>
      <c r="FY115" s="588"/>
      <c r="FZ115" s="588"/>
      <c r="GA115" s="588"/>
      <c r="GB115" s="51"/>
      <c r="GC115" s="773"/>
      <c r="GD115" s="773"/>
      <c r="GE115" s="773"/>
      <c r="GF115" s="324"/>
      <c r="GG115" s="324"/>
      <c r="GH115" s="324"/>
      <c r="GI115" s="324"/>
      <c r="GJ115" s="71"/>
      <c r="GK115" s="71"/>
      <c r="GL115" s="324"/>
      <c r="GM115" s="324"/>
      <c r="GN115" s="324"/>
      <c r="GO115" s="324"/>
      <c r="GP115" s="324"/>
      <c r="GQ115" s="324"/>
      <c r="GR115" s="324"/>
      <c r="GS115" s="324"/>
      <c r="GT115" s="324"/>
      <c r="HG115" s="325"/>
      <c r="HH115" s="325"/>
      <c r="HI115" s="325"/>
      <c r="HJ115" s="684"/>
      <c r="HK115" s="684"/>
      <c r="HL115" s="684"/>
    </row>
    <row r="116" spans="1:220" ht="16.5" customHeight="1">
      <c r="A116" s="324"/>
      <c r="B116" s="686"/>
      <c r="C116" s="759"/>
      <c r="D116" s="890"/>
      <c r="E116" s="742"/>
      <c r="F116" s="742"/>
      <c r="G116" s="739"/>
      <c r="H116" s="739"/>
      <c r="I116" s="740"/>
      <c r="J116" s="680"/>
      <c r="K116" s="680"/>
      <c r="L116" s="680"/>
      <c r="M116" s="680"/>
      <c r="N116" s="588"/>
      <c r="O116" s="588"/>
      <c r="P116" s="324"/>
      <c r="Q116" s="760"/>
      <c r="R116" s="760"/>
      <c r="S116" s="324"/>
      <c r="T116" s="759"/>
      <c r="U116" s="684"/>
      <c r="V116" s="672"/>
      <c r="W116" s="738"/>
      <c r="X116" s="739"/>
      <c r="Y116" s="685"/>
      <c r="Z116" s="685"/>
      <c r="AA116" s="579"/>
      <c r="AB116" s="579"/>
      <c r="AC116" s="579"/>
      <c r="AD116" s="579"/>
      <c r="AE116" s="588"/>
      <c r="AF116" s="588"/>
      <c r="AG116" s="588"/>
      <c r="AH116" s="51"/>
      <c r="AI116" s="773"/>
      <c r="AJ116" s="773"/>
      <c r="AK116" s="773"/>
      <c r="AL116" s="324"/>
      <c r="AM116" s="570"/>
      <c r="AN116" s="589"/>
      <c r="AO116" s="391"/>
      <c r="AP116" s="391"/>
      <c r="AQ116" s="391"/>
      <c r="AS116" s="579"/>
      <c r="AT116" s="579"/>
      <c r="AU116" s="579"/>
      <c r="AV116" s="579"/>
      <c r="AW116" s="588"/>
      <c r="AX116" s="391"/>
      <c r="AY116" s="589"/>
      <c r="AZ116" s="391"/>
      <c r="BA116" s="327"/>
      <c r="BB116" s="327"/>
      <c r="BC116" s="327"/>
      <c r="BD116" s="327"/>
      <c r="BE116" s="593"/>
      <c r="BF116" s="327"/>
      <c r="BG116" s="327"/>
      <c r="BH116" s="327"/>
      <c r="BI116" s="327"/>
      <c r="BK116" s="391"/>
      <c r="BM116" s="393"/>
      <c r="BN116" s="393"/>
      <c r="BO116" s="393"/>
      <c r="BP116" s="393"/>
      <c r="BQ116" s="593"/>
      <c r="BR116" s="593"/>
      <c r="BS116" s="593"/>
      <c r="BT116" s="393"/>
      <c r="BU116" s="393"/>
      <c r="BV116" s="393"/>
      <c r="BW116" s="393"/>
      <c r="BX116" s="391"/>
      <c r="BY116" s="391"/>
      <c r="BZ116" s="391"/>
      <c r="CA116" s="738"/>
      <c r="CB116" s="739"/>
      <c r="CC116" s="685"/>
      <c r="CD116" s="685"/>
      <c r="CE116" s="579"/>
      <c r="CF116" s="579"/>
      <c r="CG116" s="579"/>
      <c r="CH116" s="579"/>
      <c r="CI116" s="588"/>
      <c r="CJ116" s="588"/>
      <c r="CK116" s="588"/>
      <c r="CL116" s="391"/>
      <c r="CM116" s="391"/>
      <c r="CN116" s="570"/>
      <c r="CO116" s="570"/>
      <c r="CP116" s="391"/>
      <c r="CQ116" s="570"/>
      <c r="CR116" s="570"/>
      <c r="CS116" s="570"/>
      <c r="CT116" s="570"/>
      <c r="CU116" s="570"/>
      <c r="CV116" s="391"/>
      <c r="CW116" s="570"/>
      <c r="CX116" s="570"/>
      <c r="CY116" s="570"/>
      <c r="CZ116" s="570"/>
      <c r="DA116" s="570"/>
      <c r="DB116" s="391"/>
      <c r="DC116" s="759"/>
      <c r="DD116" s="684"/>
      <c r="DE116" s="672"/>
      <c r="DF116" s="738"/>
      <c r="DG116" s="739"/>
      <c r="DH116" s="685"/>
      <c r="DI116" s="685"/>
      <c r="DJ116" s="579"/>
      <c r="DK116" s="579"/>
      <c r="DL116" s="579"/>
      <c r="DM116" s="579"/>
      <c r="DN116" s="588"/>
      <c r="DO116" s="588"/>
      <c r="DP116" s="588"/>
      <c r="DQ116" s="51"/>
      <c r="DR116" s="773"/>
      <c r="DS116" s="773"/>
      <c r="DT116" s="773"/>
      <c r="DU116" s="324"/>
      <c r="DV116" s="570"/>
      <c r="DW116" s="570"/>
      <c r="DX116" s="570"/>
      <c r="EO116" s="570"/>
      <c r="EP116" s="570"/>
      <c r="EQ116" s="570"/>
      <c r="ER116" s="570"/>
      <c r="ES116" s="391"/>
      <c r="ET116" s="570"/>
      <c r="EU116" s="393"/>
      <c r="EV116" s="393"/>
      <c r="EW116" s="393"/>
      <c r="EX116" s="393"/>
      <c r="EY116" s="570"/>
      <c r="EZ116" s="570"/>
      <c r="FA116" s="324"/>
      <c r="FB116" s="324"/>
      <c r="FC116" s="684"/>
      <c r="FD116" s="759"/>
      <c r="FE116" s="738"/>
      <c r="FF116" s="739"/>
      <c r="FG116" s="685"/>
      <c r="FH116" s="685"/>
      <c r="FI116" s="685"/>
      <c r="FJ116" s="685"/>
      <c r="FK116" s="685"/>
      <c r="FL116" s="685"/>
      <c r="FM116" s="685"/>
      <c r="FN116" s="685"/>
      <c r="FO116" s="685"/>
      <c r="FP116" s="685"/>
      <c r="FQ116" s="579"/>
      <c r="FR116" s="579"/>
      <c r="FS116" s="579"/>
      <c r="FT116" s="579"/>
      <c r="FU116" s="579"/>
      <c r="FV116" s="579"/>
      <c r="FW116" s="579"/>
      <c r="FX116" s="579"/>
      <c r="FY116" s="588"/>
      <c r="FZ116" s="588"/>
      <c r="GA116" s="588"/>
      <c r="GB116" s="51"/>
      <c r="GC116" s="773"/>
      <c r="GD116" s="773"/>
      <c r="GE116" s="773"/>
      <c r="GF116" s="324"/>
      <c r="GG116" s="324"/>
      <c r="GH116" s="324"/>
      <c r="GI116" s="324"/>
      <c r="GJ116" s="71"/>
      <c r="GK116" s="71"/>
      <c r="GL116" s="324"/>
      <c r="GM116" s="324"/>
      <c r="GN116" s="324"/>
      <c r="GO116" s="324"/>
      <c r="GP116" s="324"/>
      <c r="GQ116" s="324"/>
      <c r="GR116" s="324"/>
      <c r="GS116" s="324"/>
      <c r="GT116" s="324"/>
      <c r="HG116" s="325"/>
      <c r="HH116" s="325"/>
      <c r="HI116" s="325"/>
      <c r="HJ116" s="684"/>
      <c r="HK116" s="684"/>
      <c r="HL116" s="684"/>
    </row>
    <row r="117" spans="1:220" ht="15.75" customHeight="1">
      <c r="A117" s="324"/>
      <c r="B117" s="672"/>
      <c r="C117" s="759"/>
      <c r="D117" s="890"/>
      <c r="E117" s="742"/>
      <c r="F117" s="742"/>
      <c r="G117" s="739"/>
      <c r="H117" s="739"/>
      <c r="I117" s="740"/>
      <c r="J117" s="687"/>
      <c r="K117" s="687"/>
      <c r="L117" s="687"/>
      <c r="M117" s="687"/>
      <c r="N117" s="588"/>
      <c r="O117" s="588"/>
      <c r="P117" s="324"/>
      <c r="Q117" s="760"/>
      <c r="R117" s="760"/>
      <c r="S117" s="324"/>
      <c r="T117" s="759"/>
      <c r="U117" s="684"/>
      <c r="V117" s="672"/>
      <c r="W117" s="738"/>
      <c r="X117" s="739"/>
      <c r="Y117" s="685"/>
      <c r="Z117" s="685"/>
      <c r="AA117" s="579"/>
      <c r="AB117" s="579"/>
      <c r="AC117" s="579"/>
      <c r="AD117" s="579"/>
      <c r="AE117" s="588"/>
      <c r="AF117" s="588"/>
      <c r="AG117" s="588"/>
      <c r="AH117" s="51"/>
      <c r="AI117" s="688"/>
      <c r="AJ117" s="688"/>
      <c r="AK117" s="688"/>
      <c r="AL117" s="324"/>
      <c r="AM117" s="570"/>
      <c r="AN117" s="589"/>
      <c r="AO117" s="391"/>
      <c r="AP117" s="391"/>
      <c r="AQ117" s="391"/>
      <c r="AS117" s="579"/>
      <c r="AT117" s="579"/>
      <c r="AU117" s="579"/>
      <c r="AV117" s="579"/>
      <c r="AW117" s="588"/>
      <c r="AX117" s="391"/>
      <c r="AY117" s="589"/>
      <c r="AZ117" s="391"/>
      <c r="BA117" s="327"/>
      <c r="BB117" s="327"/>
      <c r="BC117" s="327"/>
      <c r="BD117" s="327"/>
      <c r="BE117" s="593"/>
      <c r="BF117" s="327"/>
      <c r="BG117" s="327"/>
      <c r="BH117" s="327"/>
      <c r="BI117" s="327"/>
      <c r="BK117" s="391"/>
      <c r="BM117" s="393"/>
      <c r="BN117" s="393"/>
      <c r="BO117" s="393"/>
      <c r="BP117" s="393"/>
      <c r="BQ117" s="593"/>
      <c r="BR117" s="593"/>
      <c r="BS117" s="593"/>
      <c r="BT117" s="393"/>
      <c r="BU117" s="393"/>
      <c r="BV117" s="393"/>
      <c r="BW117" s="393"/>
      <c r="BX117" s="391"/>
      <c r="BY117" s="391"/>
      <c r="BZ117" s="391"/>
      <c r="CA117" s="738"/>
      <c r="CB117" s="739"/>
      <c r="CC117" s="685"/>
      <c r="CD117" s="685"/>
      <c r="CE117" s="579"/>
      <c r="CF117" s="579"/>
      <c r="CG117" s="579"/>
      <c r="CH117" s="579"/>
      <c r="CI117" s="588"/>
      <c r="CJ117" s="588"/>
      <c r="CK117" s="588"/>
      <c r="CL117" s="391"/>
      <c r="CM117" s="391"/>
      <c r="CN117" s="570"/>
      <c r="CO117" s="570"/>
      <c r="CP117" s="391"/>
      <c r="CQ117" s="570"/>
      <c r="CR117" s="570"/>
      <c r="CS117" s="570"/>
      <c r="CT117" s="570"/>
      <c r="CU117" s="570"/>
      <c r="CV117" s="391"/>
      <c r="CW117" s="570"/>
      <c r="CX117" s="570"/>
      <c r="CY117" s="570"/>
      <c r="CZ117" s="570"/>
      <c r="DA117" s="570"/>
      <c r="DB117" s="391"/>
      <c r="DC117" s="759"/>
      <c r="DD117" s="684"/>
      <c r="DE117" s="672"/>
      <c r="DF117" s="738"/>
      <c r="DG117" s="739"/>
      <c r="DH117" s="685"/>
      <c r="DI117" s="685"/>
      <c r="DJ117" s="579"/>
      <c r="DK117" s="579"/>
      <c r="DL117" s="579"/>
      <c r="DM117" s="579"/>
      <c r="DN117" s="588"/>
      <c r="DO117" s="588"/>
      <c r="DP117" s="588"/>
      <c r="DQ117" s="51"/>
      <c r="DR117" s="688"/>
      <c r="DS117" s="688"/>
      <c r="DT117" s="688"/>
      <c r="DU117" s="324"/>
      <c r="DV117" s="570"/>
      <c r="DW117" s="570"/>
      <c r="DX117" s="570"/>
      <c r="EO117" s="570"/>
      <c r="EP117" s="570"/>
      <c r="EQ117" s="570"/>
      <c r="ER117" s="570"/>
      <c r="ES117" s="391"/>
      <c r="ET117" s="570"/>
      <c r="EU117" s="393"/>
      <c r="EV117" s="393"/>
      <c r="EW117" s="393"/>
      <c r="EX117" s="393"/>
      <c r="EY117" s="570"/>
      <c r="EZ117" s="570"/>
      <c r="FA117" s="324"/>
      <c r="FB117" s="324"/>
      <c r="FC117" s="684"/>
      <c r="FD117" s="759"/>
      <c r="FE117" s="738"/>
      <c r="FF117" s="739"/>
      <c r="FG117" s="685"/>
      <c r="FH117" s="685"/>
      <c r="FI117" s="685"/>
      <c r="FJ117" s="685"/>
      <c r="FK117" s="685"/>
      <c r="FL117" s="685"/>
      <c r="FM117" s="685"/>
      <c r="FN117" s="685"/>
      <c r="FO117" s="685"/>
      <c r="FP117" s="685"/>
      <c r="FQ117" s="579"/>
      <c r="FR117" s="579"/>
      <c r="FS117" s="579"/>
      <c r="FT117" s="579"/>
      <c r="FU117" s="579"/>
      <c r="FV117" s="579"/>
      <c r="FW117" s="579"/>
      <c r="FX117" s="579"/>
      <c r="FY117" s="588"/>
      <c r="FZ117" s="588"/>
      <c r="GA117" s="588"/>
      <c r="GB117" s="51"/>
      <c r="GC117" s="688"/>
      <c r="GD117" s="688"/>
      <c r="GE117" s="688"/>
      <c r="GF117" s="324"/>
      <c r="GG117" s="324"/>
      <c r="GH117" s="324"/>
      <c r="GI117" s="324"/>
      <c r="GJ117" s="71"/>
      <c r="GK117" s="71"/>
      <c r="GL117" s="324"/>
      <c r="GM117" s="324"/>
      <c r="GN117" s="324"/>
      <c r="GO117" s="324"/>
      <c r="GP117" s="324"/>
      <c r="GQ117" s="324"/>
      <c r="GR117" s="324"/>
      <c r="GS117" s="324"/>
      <c r="GT117" s="324"/>
      <c r="HG117" s="325"/>
      <c r="HH117" s="325"/>
      <c r="HI117" s="325"/>
      <c r="HJ117" s="684"/>
      <c r="HK117" s="684"/>
      <c r="HL117" s="684"/>
    </row>
    <row r="118" spans="1:220" ht="15.75">
      <c r="A118" s="324"/>
      <c r="B118" s="672"/>
      <c r="C118" s="759"/>
      <c r="D118" s="890"/>
      <c r="E118" s="742"/>
      <c r="F118" s="742"/>
      <c r="G118" s="739"/>
      <c r="H118" s="739"/>
      <c r="I118" s="740"/>
      <c r="J118" s="680"/>
      <c r="K118" s="680"/>
      <c r="L118" s="680"/>
      <c r="M118" s="680"/>
      <c r="N118" s="588"/>
      <c r="O118" s="588"/>
      <c r="P118" s="324"/>
      <c r="Q118" s="760"/>
      <c r="R118" s="760"/>
      <c r="S118" s="324"/>
      <c r="T118" s="759"/>
      <c r="U118" s="684"/>
      <c r="V118" s="672"/>
      <c r="W118" s="738"/>
      <c r="X118" s="739"/>
      <c r="Y118" s="685"/>
      <c r="Z118" s="685"/>
      <c r="AA118" s="579"/>
      <c r="AB118" s="579"/>
      <c r="AC118" s="579"/>
      <c r="AD118" s="579"/>
      <c r="AE118" s="588"/>
      <c r="AF118" s="588"/>
      <c r="AG118" s="588"/>
      <c r="AH118" s="51"/>
      <c r="AI118" s="688"/>
      <c r="AJ118" s="688"/>
      <c r="AK118" s="688"/>
      <c r="AL118" s="324"/>
      <c r="AM118" s="570"/>
      <c r="AN118" s="589"/>
      <c r="AO118" s="391"/>
      <c r="AP118" s="391"/>
      <c r="AQ118" s="391"/>
      <c r="AS118" s="579"/>
      <c r="AT118" s="579"/>
      <c r="AU118" s="579"/>
      <c r="AV118" s="579"/>
      <c r="AW118" s="588"/>
      <c r="AX118" s="391"/>
      <c r="AY118" s="589"/>
      <c r="AZ118" s="391"/>
      <c r="BA118" s="327"/>
      <c r="BB118" s="327"/>
      <c r="BC118" s="327"/>
      <c r="BD118" s="327"/>
      <c r="BE118" s="593"/>
      <c r="BF118" s="327"/>
      <c r="BG118" s="327"/>
      <c r="BH118" s="327"/>
      <c r="BI118" s="327"/>
      <c r="BK118" s="391"/>
      <c r="BM118" s="393"/>
      <c r="BN118" s="393"/>
      <c r="BO118" s="393"/>
      <c r="BP118" s="393"/>
      <c r="BQ118" s="593"/>
      <c r="BR118" s="593"/>
      <c r="BS118" s="593"/>
      <c r="BT118" s="393"/>
      <c r="BU118" s="393"/>
      <c r="BV118" s="393"/>
      <c r="BW118" s="393"/>
      <c r="BX118" s="391"/>
      <c r="BY118" s="391"/>
      <c r="BZ118" s="391"/>
      <c r="CA118" s="738"/>
      <c r="CB118" s="739"/>
      <c r="CC118" s="685"/>
      <c r="CD118" s="685"/>
      <c r="CE118" s="579"/>
      <c r="CF118" s="579"/>
      <c r="CG118" s="579"/>
      <c r="CH118" s="579"/>
      <c r="CI118" s="588"/>
      <c r="CJ118" s="588"/>
      <c r="CK118" s="588"/>
      <c r="CL118" s="391"/>
      <c r="CM118" s="391"/>
      <c r="CN118" s="570"/>
      <c r="CO118" s="570"/>
      <c r="CP118" s="391"/>
      <c r="CQ118" s="570"/>
      <c r="CR118" s="570"/>
      <c r="CS118" s="570"/>
      <c r="CT118" s="570"/>
      <c r="CU118" s="570"/>
      <c r="CV118" s="391"/>
      <c r="CW118" s="570"/>
      <c r="CX118" s="570"/>
      <c r="CY118" s="570"/>
      <c r="CZ118" s="570"/>
      <c r="DA118" s="570"/>
      <c r="DB118" s="391"/>
      <c r="DC118" s="759"/>
      <c r="DD118" s="684"/>
      <c r="DE118" s="672"/>
      <c r="DF118" s="738"/>
      <c r="DG118" s="739"/>
      <c r="DH118" s="685"/>
      <c r="DI118" s="685"/>
      <c r="DJ118" s="579"/>
      <c r="DK118" s="579"/>
      <c r="DL118" s="579"/>
      <c r="DM118" s="579"/>
      <c r="DN118" s="588"/>
      <c r="DO118" s="588"/>
      <c r="DP118" s="588"/>
      <c r="DQ118" s="51"/>
      <c r="DR118" s="688"/>
      <c r="DS118" s="688"/>
      <c r="DT118" s="688"/>
      <c r="DU118" s="324"/>
      <c r="DV118" s="570"/>
      <c r="DW118" s="570"/>
      <c r="DX118" s="570"/>
      <c r="EO118" s="570"/>
      <c r="EP118" s="570"/>
      <c r="EQ118" s="570"/>
      <c r="ER118" s="570"/>
      <c r="ES118" s="391"/>
      <c r="ET118" s="570"/>
      <c r="EU118" s="393"/>
      <c r="EV118" s="393"/>
      <c r="EW118" s="393"/>
      <c r="EX118" s="393"/>
      <c r="EY118" s="570"/>
      <c r="EZ118" s="570"/>
      <c r="FA118" s="324"/>
      <c r="FB118" s="324"/>
      <c r="FC118" s="684"/>
      <c r="FD118" s="759"/>
      <c r="FE118" s="738"/>
      <c r="FF118" s="739"/>
      <c r="FG118" s="685"/>
      <c r="FH118" s="685"/>
      <c r="FI118" s="685"/>
      <c r="FJ118" s="685"/>
      <c r="FK118" s="685"/>
      <c r="FL118" s="685"/>
      <c r="FM118" s="685"/>
      <c r="FN118" s="685"/>
      <c r="FO118" s="685"/>
      <c r="FP118" s="685"/>
      <c r="FQ118" s="579"/>
      <c r="FR118" s="579"/>
      <c r="FS118" s="579"/>
      <c r="FT118" s="579"/>
      <c r="FU118" s="579"/>
      <c r="FV118" s="579"/>
      <c r="FW118" s="579"/>
      <c r="FX118" s="579"/>
      <c r="FY118" s="588"/>
      <c r="FZ118" s="588"/>
      <c r="GA118" s="588"/>
      <c r="GB118" s="51"/>
      <c r="GC118" s="688"/>
      <c r="GD118" s="688"/>
      <c r="GE118" s="688"/>
      <c r="GF118" s="324"/>
      <c r="GG118" s="324"/>
      <c r="GH118" s="324"/>
      <c r="GI118" s="324"/>
      <c r="GJ118" s="71"/>
      <c r="GK118" s="71"/>
      <c r="GL118" s="324"/>
      <c r="GM118" s="324"/>
      <c r="GN118" s="324"/>
      <c r="GO118" s="324"/>
      <c r="GP118" s="324"/>
      <c r="GQ118" s="324"/>
      <c r="GR118" s="324"/>
      <c r="GS118" s="324"/>
      <c r="GT118" s="324"/>
      <c r="HG118" s="325"/>
      <c r="HH118" s="325"/>
      <c r="HI118" s="325"/>
      <c r="HJ118" s="684"/>
      <c r="HK118" s="684"/>
      <c r="HL118" s="684"/>
    </row>
    <row r="119" spans="1:220" ht="15">
      <c r="A119" s="324"/>
      <c r="B119" s="672"/>
      <c r="C119" s="759"/>
      <c r="D119" s="752"/>
      <c r="E119" s="738"/>
      <c r="F119" s="742"/>
      <c r="G119" s="739"/>
      <c r="H119" s="739"/>
      <c r="I119" s="740"/>
      <c r="J119" s="680"/>
      <c r="K119" s="680"/>
      <c r="L119" s="680"/>
      <c r="M119" s="680"/>
      <c r="N119" s="588"/>
      <c r="O119" s="588"/>
      <c r="P119" s="324"/>
      <c r="Q119" s="324"/>
      <c r="R119" s="324"/>
      <c r="S119" s="324"/>
      <c r="T119" s="759"/>
      <c r="U119" s="684"/>
      <c r="V119" s="672"/>
      <c r="W119" s="738"/>
      <c r="X119" s="739"/>
      <c r="Y119" s="685"/>
      <c r="Z119" s="685"/>
      <c r="AA119" s="590"/>
      <c r="AB119" s="590"/>
      <c r="AC119" s="590"/>
      <c r="AD119" s="590"/>
      <c r="AE119" s="588"/>
      <c r="AF119" s="588"/>
      <c r="AG119" s="588"/>
      <c r="AH119" s="51"/>
      <c r="AI119" s="688"/>
      <c r="AJ119" s="688"/>
      <c r="AK119" s="688"/>
      <c r="AL119" s="324"/>
      <c r="AM119" s="570"/>
      <c r="AN119" s="589"/>
      <c r="AO119" s="391"/>
      <c r="AP119" s="391"/>
      <c r="AQ119" s="391"/>
      <c r="AS119" s="590"/>
      <c r="AT119" s="590"/>
      <c r="AU119" s="590"/>
      <c r="AV119" s="590"/>
      <c r="AW119" s="588"/>
      <c r="AX119" s="391"/>
      <c r="AY119" s="589"/>
      <c r="AZ119" s="391"/>
      <c r="BA119" s="327"/>
      <c r="BB119" s="288"/>
      <c r="BC119" s="288"/>
      <c r="BD119" s="288"/>
      <c r="BE119" s="288"/>
      <c r="BF119" s="288"/>
      <c r="BG119" s="288"/>
      <c r="BH119" s="288"/>
      <c r="BI119" s="288"/>
      <c r="BK119" s="391"/>
      <c r="BM119" s="391"/>
      <c r="BN119" s="391"/>
      <c r="BO119" s="391"/>
      <c r="BP119" s="391"/>
      <c r="BQ119" s="391"/>
      <c r="BR119" s="391"/>
      <c r="BS119" s="391"/>
      <c r="BT119" s="391"/>
      <c r="BU119" s="391"/>
      <c r="BV119" s="570"/>
      <c r="BW119" s="570"/>
      <c r="BX119" s="570"/>
      <c r="BY119" s="570"/>
      <c r="BZ119" s="391"/>
      <c r="CA119" s="738"/>
      <c r="CB119" s="739"/>
      <c r="CC119" s="685"/>
      <c r="CD119" s="685"/>
      <c r="CE119" s="590"/>
      <c r="CF119" s="590"/>
      <c r="CG119" s="590"/>
      <c r="CH119" s="590"/>
      <c r="CI119" s="588"/>
      <c r="CJ119" s="588"/>
      <c r="CK119" s="588"/>
      <c r="CL119" s="570"/>
      <c r="CM119" s="570"/>
      <c r="CN119" s="570"/>
      <c r="CO119" s="570"/>
      <c r="CP119" s="391"/>
      <c r="CQ119" s="570"/>
      <c r="CR119" s="570"/>
      <c r="CS119" s="570"/>
      <c r="CT119" s="570"/>
      <c r="CU119" s="570"/>
      <c r="CV119" s="391"/>
      <c r="CW119" s="570"/>
      <c r="CX119" s="570"/>
      <c r="CY119" s="570"/>
      <c r="CZ119" s="570"/>
      <c r="DA119" s="570"/>
      <c r="DB119" s="391"/>
      <c r="DC119" s="759"/>
      <c r="DD119" s="684"/>
      <c r="DE119" s="672"/>
      <c r="DF119" s="738"/>
      <c r="DG119" s="739"/>
      <c r="DH119" s="685"/>
      <c r="DI119" s="685"/>
      <c r="DJ119" s="579"/>
      <c r="DK119" s="579"/>
      <c r="DL119" s="579"/>
      <c r="DM119" s="579"/>
      <c r="DN119" s="588"/>
      <c r="DO119" s="588"/>
      <c r="DP119" s="588"/>
      <c r="DQ119" s="51"/>
      <c r="DR119" s="688"/>
      <c r="DS119" s="688"/>
      <c r="DT119" s="688"/>
      <c r="DU119" s="324"/>
      <c r="DV119" s="570"/>
      <c r="DW119" s="570"/>
      <c r="DX119" s="570"/>
      <c r="EO119" s="570"/>
      <c r="EP119" s="570"/>
      <c r="EQ119" s="570"/>
      <c r="ER119" s="570"/>
      <c r="ES119" s="391"/>
      <c r="ET119" s="570"/>
      <c r="EU119" s="393"/>
      <c r="EV119" s="393"/>
      <c r="EW119" s="393"/>
      <c r="EX119" s="393"/>
      <c r="EY119" s="570"/>
      <c r="EZ119" s="570"/>
      <c r="FA119" s="324"/>
      <c r="FB119" s="324"/>
      <c r="FC119" s="684"/>
      <c r="FD119" s="759"/>
      <c r="FE119" s="738"/>
      <c r="FF119" s="739"/>
      <c r="FG119" s="685"/>
      <c r="FH119" s="685"/>
      <c r="FI119" s="685"/>
      <c r="FJ119" s="685"/>
      <c r="FK119" s="685"/>
      <c r="FL119" s="685"/>
      <c r="FM119" s="685"/>
      <c r="FN119" s="685"/>
      <c r="FO119" s="685"/>
      <c r="FP119" s="685"/>
      <c r="FQ119" s="579"/>
      <c r="FR119" s="579"/>
      <c r="FS119" s="579"/>
      <c r="FT119" s="579"/>
      <c r="FU119" s="579"/>
      <c r="FV119" s="579"/>
      <c r="FW119" s="579"/>
      <c r="FX119" s="579"/>
      <c r="FY119" s="588"/>
      <c r="FZ119" s="588"/>
      <c r="GA119" s="588"/>
      <c r="GB119" s="51"/>
      <c r="GC119" s="688"/>
      <c r="GD119" s="688"/>
      <c r="GE119" s="688"/>
      <c r="GF119" s="324"/>
      <c r="GG119" s="324"/>
      <c r="GH119" s="324"/>
      <c r="GI119" s="324"/>
      <c r="GJ119" s="71"/>
      <c r="GK119" s="71"/>
      <c r="GL119" s="324"/>
      <c r="GM119" s="324"/>
      <c r="GN119" s="324"/>
      <c r="GO119" s="324"/>
      <c r="GP119" s="324"/>
      <c r="GQ119" s="324"/>
      <c r="GR119" s="324"/>
      <c r="GS119" s="324"/>
      <c r="GT119" s="324"/>
      <c r="HG119" s="325"/>
      <c r="HH119" s="325"/>
      <c r="HI119" s="325"/>
      <c r="HJ119" s="684"/>
      <c r="HK119" s="684"/>
      <c r="HL119" s="684"/>
    </row>
    <row r="120" spans="1:220" ht="15" customHeight="1">
      <c r="A120" s="324"/>
      <c r="B120" s="672"/>
      <c r="C120" s="761"/>
      <c r="D120" s="752"/>
      <c r="E120" s="742"/>
      <c r="F120" s="742"/>
      <c r="G120" s="739"/>
      <c r="H120" s="739"/>
      <c r="I120" s="740"/>
      <c r="J120" s="680"/>
      <c r="K120" s="680"/>
      <c r="L120" s="680"/>
      <c r="M120" s="680"/>
      <c r="N120" s="588"/>
      <c r="O120" s="588"/>
      <c r="P120" s="324"/>
      <c r="Q120" s="324"/>
      <c r="R120" s="324"/>
      <c r="S120" s="324"/>
      <c r="T120" s="761"/>
      <c r="U120" s="684"/>
      <c r="V120" s="672"/>
      <c r="W120" s="738"/>
      <c r="X120" s="739"/>
      <c r="Y120" s="685"/>
      <c r="Z120" s="685"/>
      <c r="AA120" s="579"/>
      <c r="AB120" s="579"/>
      <c r="AC120" s="579"/>
      <c r="AD120" s="579"/>
      <c r="AE120" s="588"/>
      <c r="AF120" s="588"/>
      <c r="AG120" s="588"/>
      <c r="AH120" s="51"/>
      <c r="AI120" s="688"/>
      <c r="AJ120" s="688"/>
      <c r="AK120" s="688"/>
      <c r="AL120" s="324"/>
      <c r="AM120" s="570"/>
      <c r="AN120" s="589"/>
      <c r="AO120" s="391"/>
      <c r="AP120" s="391"/>
      <c r="AQ120" s="391"/>
      <c r="AS120" s="579"/>
      <c r="AT120" s="579"/>
      <c r="AU120" s="579"/>
      <c r="AV120" s="579"/>
      <c r="AW120" s="588"/>
      <c r="AX120" s="391"/>
      <c r="AY120" s="589"/>
      <c r="AZ120" s="391"/>
      <c r="BA120" s="327"/>
      <c r="BB120" s="327"/>
      <c r="BC120" s="327"/>
      <c r="BD120" s="327"/>
      <c r="BE120" s="288"/>
      <c r="BF120" s="594"/>
      <c r="BG120" s="594"/>
      <c r="BH120" s="594"/>
      <c r="BI120" s="594"/>
      <c r="BK120" s="391"/>
      <c r="BM120" s="391"/>
      <c r="BN120" s="391"/>
      <c r="BO120" s="391"/>
      <c r="BP120" s="391"/>
      <c r="BQ120" s="391"/>
      <c r="BR120" s="391"/>
      <c r="BS120" s="391"/>
      <c r="BT120" s="391"/>
      <c r="BU120" s="391"/>
      <c r="BV120" s="570"/>
      <c r="BW120" s="570"/>
      <c r="BX120" s="570"/>
      <c r="BY120" s="570"/>
      <c r="BZ120" s="391"/>
      <c r="CA120" s="738"/>
      <c r="CB120" s="739"/>
      <c r="CC120" s="685"/>
      <c r="CD120" s="685"/>
      <c r="CE120" s="579"/>
      <c r="CF120" s="579"/>
      <c r="CG120" s="579"/>
      <c r="CH120" s="579"/>
      <c r="CI120" s="588"/>
      <c r="CJ120" s="588"/>
      <c r="CK120" s="588"/>
      <c r="CL120" s="570"/>
      <c r="CM120" s="570"/>
      <c r="CN120" s="570"/>
      <c r="CO120" s="570"/>
      <c r="CP120" s="391"/>
      <c r="CQ120" s="570"/>
      <c r="CR120" s="570"/>
      <c r="CS120" s="570"/>
      <c r="CT120" s="570"/>
      <c r="CU120" s="570"/>
      <c r="CV120" s="391"/>
      <c r="CW120" s="570"/>
      <c r="CX120" s="570"/>
      <c r="CY120" s="570"/>
      <c r="CZ120" s="570"/>
      <c r="DA120" s="570"/>
      <c r="DB120" s="391"/>
      <c r="DC120" s="761"/>
      <c r="DD120" s="684"/>
      <c r="DE120" s="672"/>
      <c r="DF120" s="738"/>
      <c r="DG120" s="739"/>
      <c r="DH120" s="685"/>
      <c r="DI120" s="685"/>
      <c r="DJ120" s="579"/>
      <c r="DK120" s="579"/>
      <c r="DL120" s="579"/>
      <c r="DM120" s="579"/>
      <c r="DN120" s="588"/>
      <c r="DO120" s="588"/>
      <c r="DP120" s="588"/>
      <c r="DQ120" s="51"/>
      <c r="DR120" s="688"/>
      <c r="DS120" s="688"/>
      <c r="DT120" s="688"/>
      <c r="DU120" s="324"/>
      <c r="DV120" s="570"/>
      <c r="DW120" s="570"/>
      <c r="DX120" s="570"/>
      <c r="EO120" s="570"/>
      <c r="EP120" s="570"/>
      <c r="EQ120" s="570"/>
      <c r="ER120" s="570"/>
      <c r="ES120" s="391"/>
      <c r="ET120" s="570"/>
      <c r="EU120" s="393"/>
      <c r="EV120" s="393"/>
      <c r="EW120" s="393"/>
      <c r="EX120" s="393"/>
      <c r="EY120" s="570"/>
      <c r="EZ120" s="570"/>
      <c r="FA120" s="324"/>
      <c r="FB120" s="324"/>
      <c r="FC120" s="684"/>
      <c r="FD120" s="761"/>
      <c r="FE120" s="738"/>
      <c r="FF120" s="739"/>
      <c r="FG120" s="685"/>
      <c r="FH120" s="685"/>
      <c r="FI120" s="685"/>
      <c r="FJ120" s="685"/>
      <c r="FK120" s="685"/>
      <c r="FL120" s="685"/>
      <c r="FM120" s="685"/>
      <c r="FN120" s="685"/>
      <c r="FO120" s="685"/>
      <c r="FP120" s="685"/>
      <c r="FQ120" s="579"/>
      <c r="FR120" s="579"/>
      <c r="FS120" s="579"/>
      <c r="FT120" s="579"/>
      <c r="FU120" s="579"/>
      <c r="FV120" s="579"/>
      <c r="FW120" s="579"/>
      <c r="FX120" s="579"/>
      <c r="FY120" s="588"/>
      <c r="FZ120" s="588"/>
      <c r="GA120" s="588"/>
      <c r="GB120" s="51"/>
      <c r="GC120" s="688"/>
      <c r="GD120" s="688"/>
      <c r="GE120" s="688"/>
      <c r="GF120" s="324"/>
      <c r="GG120" s="324"/>
      <c r="GH120" s="324"/>
      <c r="GI120" s="324"/>
      <c r="GJ120" s="71"/>
      <c r="GK120" s="71"/>
      <c r="GL120" s="324"/>
      <c r="GM120" s="324"/>
      <c r="GN120" s="324"/>
      <c r="GO120" s="324"/>
      <c r="GP120" s="324"/>
      <c r="GQ120" s="324"/>
      <c r="GR120" s="324"/>
      <c r="GS120" s="324"/>
      <c r="GT120" s="324"/>
      <c r="HG120" s="325"/>
      <c r="HH120" s="325"/>
      <c r="HI120" s="325"/>
      <c r="HJ120" s="684"/>
      <c r="HK120" s="684"/>
      <c r="HL120" s="684"/>
    </row>
    <row r="121" spans="1:220" ht="15">
      <c r="A121" s="324"/>
      <c r="B121" s="672"/>
      <c r="C121" s="761"/>
      <c r="D121" s="752"/>
      <c r="E121" s="742"/>
      <c r="F121" s="742"/>
      <c r="G121" s="739"/>
      <c r="H121" s="739"/>
      <c r="I121" s="740"/>
      <c r="J121" s="680"/>
      <c r="K121" s="680"/>
      <c r="L121" s="680"/>
      <c r="M121" s="680"/>
      <c r="N121" s="588"/>
      <c r="O121" s="588"/>
      <c r="P121" s="324"/>
      <c r="Q121" s="324"/>
      <c r="R121" s="324"/>
      <c r="S121" s="324"/>
      <c r="T121" s="761"/>
      <c r="U121" s="684"/>
      <c r="V121" s="672"/>
      <c r="W121" s="738"/>
      <c r="X121" s="739"/>
      <c r="Y121" s="685"/>
      <c r="Z121" s="685"/>
      <c r="AA121" s="579"/>
      <c r="AB121" s="579"/>
      <c r="AC121" s="579"/>
      <c r="AD121" s="579"/>
      <c r="AE121" s="588"/>
      <c r="AF121" s="588"/>
      <c r="AG121" s="588"/>
      <c r="AH121" s="51"/>
      <c r="AI121" s="688"/>
      <c r="AJ121" s="688"/>
      <c r="AK121" s="688"/>
      <c r="AL121" s="324"/>
      <c r="AM121" s="570"/>
      <c r="AN121" s="589"/>
      <c r="AO121" s="391"/>
      <c r="AP121" s="391"/>
      <c r="AQ121" s="391"/>
      <c r="AS121" s="579"/>
      <c r="AT121" s="579"/>
      <c r="AU121" s="579"/>
      <c r="AV121" s="579"/>
      <c r="AW121" s="588"/>
      <c r="AX121" s="391"/>
      <c r="AY121" s="589"/>
      <c r="AZ121" s="391"/>
      <c r="BA121" s="327"/>
      <c r="BB121" s="327"/>
      <c r="BC121" s="327"/>
      <c r="BD121" s="327"/>
      <c r="BE121" s="288"/>
      <c r="BF121" s="594"/>
      <c r="BG121" s="594"/>
      <c r="BH121" s="594"/>
      <c r="BI121" s="594"/>
      <c r="BK121" s="391"/>
      <c r="BM121" s="391"/>
      <c r="BN121" s="391"/>
      <c r="BO121" s="391"/>
      <c r="BP121" s="391"/>
      <c r="BQ121" s="391"/>
      <c r="BR121" s="391"/>
      <c r="BS121" s="391"/>
      <c r="BT121" s="391"/>
      <c r="BU121" s="391"/>
      <c r="BV121" s="570"/>
      <c r="BW121" s="570"/>
      <c r="BX121" s="570"/>
      <c r="BY121" s="570"/>
      <c r="BZ121" s="391"/>
      <c r="CA121" s="738"/>
      <c r="CB121" s="739"/>
      <c r="CC121" s="685"/>
      <c r="CD121" s="685"/>
      <c r="CE121" s="579"/>
      <c r="CF121" s="579"/>
      <c r="CG121" s="579"/>
      <c r="CH121" s="579"/>
      <c r="CI121" s="588"/>
      <c r="CJ121" s="588"/>
      <c r="CK121" s="588"/>
      <c r="CL121" s="570"/>
      <c r="CM121" s="570"/>
      <c r="CN121" s="570"/>
      <c r="CO121" s="570"/>
      <c r="CP121" s="391"/>
      <c r="CQ121" s="570"/>
      <c r="CR121" s="570"/>
      <c r="CS121" s="570"/>
      <c r="CT121" s="570"/>
      <c r="CU121" s="570"/>
      <c r="CV121" s="391"/>
      <c r="CW121" s="570"/>
      <c r="CX121" s="570"/>
      <c r="CY121" s="570"/>
      <c r="CZ121" s="570"/>
      <c r="DA121" s="570"/>
      <c r="DB121" s="391"/>
      <c r="DC121" s="761"/>
      <c r="DD121" s="684"/>
      <c r="DE121" s="672"/>
      <c r="DF121" s="738"/>
      <c r="DG121" s="739"/>
      <c r="DH121" s="685"/>
      <c r="DI121" s="685"/>
      <c r="DJ121" s="579"/>
      <c r="DK121" s="579"/>
      <c r="DL121" s="579"/>
      <c r="DM121" s="579"/>
      <c r="DN121" s="588"/>
      <c r="DO121" s="588"/>
      <c r="DP121" s="588"/>
      <c r="DQ121" s="51"/>
      <c r="DR121" s="688"/>
      <c r="DS121" s="688"/>
      <c r="DT121" s="688"/>
      <c r="DU121" s="324"/>
      <c r="DV121" s="570"/>
      <c r="DW121" s="570"/>
      <c r="DX121" s="570"/>
      <c r="EO121" s="570"/>
      <c r="EP121" s="570"/>
      <c r="EQ121" s="570"/>
      <c r="ER121" s="570"/>
      <c r="ES121" s="391"/>
      <c r="ET121" s="570"/>
      <c r="EU121" s="393"/>
      <c r="EV121" s="393"/>
      <c r="EW121" s="393"/>
      <c r="EX121" s="393"/>
      <c r="EY121" s="570"/>
      <c r="EZ121" s="570"/>
      <c r="FA121" s="324"/>
      <c r="FB121" s="324"/>
      <c r="FC121" s="684"/>
      <c r="FD121" s="761"/>
      <c r="FE121" s="738"/>
      <c r="FF121" s="739"/>
      <c r="FG121" s="685"/>
      <c r="FH121" s="685"/>
      <c r="FI121" s="685"/>
      <c r="FJ121" s="685"/>
      <c r="FK121" s="685"/>
      <c r="FL121" s="685"/>
      <c r="FM121" s="685"/>
      <c r="FN121" s="685"/>
      <c r="FO121" s="685"/>
      <c r="FP121" s="685"/>
      <c r="FQ121" s="579"/>
      <c r="FR121" s="579"/>
      <c r="FS121" s="579"/>
      <c r="FT121" s="579"/>
      <c r="FU121" s="579"/>
      <c r="FV121" s="579"/>
      <c r="FW121" s="579"/>
      <c r="FX121" s="579"/>
      <c r="FY121" s="588"/>
      <c r="FZ121" s="588"/>
      <c r="GA121" s="588"/>
      <c r="GB121" s="51"/>
      <c r="GC121" s="688"/>
      <c r="GD121" s="688"/>
      <c r="GE121" s="688"/>
      <c r="GF121" s="324"/>
      <c r="GG121" s="324"/>
      <c r="GH121" s="324"/>
      <c r="GI121" s="324"/>
      <c r="GJ121" s="71"/>
      <c r="GK121" s="71"/>
      <c r="GL121" s="324"/>
      <c r="GM121" s="324"/>
      <c r="GN121" s="324"/>
      <c r="GO121" s="324"/>
      <c r="GP121" s="324"/>
      <c r="GQ121" s="324"/>
      <c r="GR121" s="324"/>
      <c r="GS121" s="324"/>
      <c r="GT121" s="324"/>
      <c r="HG121" s="325"/>
      <c r="HH121" s="325"/>
      <c r="HI121" s="325"/>
      <c r="HJ121" s="684"/>
      <c r="HK121" s="684"/>
      <c r="HL121" s="684"/>
    </row>
    <row r="122" spans="1:220" ht="15">
      <c r="A122" s="324"/>
      <c r="B122" s="672"/>
      <c r="C122" s="761"/>
      <c r="D122" s="752"/>
      <c r="E122" s="742"/>
      <c r="F122" s="742"/>
      <c r="G122" s="739"/>
      <c r="H122" s="739"/>
      <c r="I122" s="740"/>
      <c r="J122" s="680"/>
      <c r="K122" s="680"/>
      <c r="L122" s="680"/>
      <c r="M122" s="680"/>
      <c r="N122" s="588"/>
      <c r="O122" s="588"/>
      <c r="P122" s="324"/>
      <c r="Q122" s="324"/>
      <c r="R122" s="324"/>
      <c r="S122" s="324"/>
      <c r="T122" s="761"/>
      <c r="U122" s="684"/>
      <c r="V122" s="672"/>
      <c r="W122" s="738"/>
      <c r="X122" s="739"/>
      <c r="Y122" s="685"/>
      <c r="Z122" s="685"/>
      <c r="AA122" s="579"/>
      <c r="AB122" s="579"/>
      <c r="AC122" s="579"/>
      <c r="AD122" s="579"/>
      <c r="AE122" s="588"/>
      <c r="AF122" s="588"/>
      <c r="AG122" s="588"/>
      <c r="AH122" s="324"/>
      <c r="AI122" s="691"/>
      <c r="AJ122" s="324"/>
      <c r="AK122" s="690"/>
      <c r="AL122" s="324"/>
      <c r="AM122" s="570"/>
      <c r="AN122" s="589"/>
      <c r="AO122" s="391"/>
      <c r="AP122" s="391"/>
      <c r="AQ122" s="391"/>
      <c r="AS122" s="579"/>
      <c r="AT122" s="579"/>
      <c r="AU122" s="579"/>
      <c r="AV122" s="579"/>
      <c r="AW122" s="588"/>
      <c r="AX122" s="391"/>
      <c r="AY122" s="589"/>
      <c r="AZ122" s="391"/>
      <c r="BA122" s="327"/>
      <c r="BB122" s="327"/>
      <c r="BC122" s="327"/>
      <c r="BD122" s="327"/>
      <c r="BE122" s="288"/>
      <c r="BF122" s="594"/>
      <c r="BG122" s="594"/>
      <c r="BH122" s="594"/>
      <c r="BI122" s="594"/>
      <c r="BK122" s="391"/>
      <c r="BM122" s="391"/>
      <c r="BN122" s="391"/>
      <c r="BO122" s="391"/>
      <c r="BP122" s="391"/>
      <c r="BQ122" s="391"/>
      <c r="BR122" s="391"/>
      <c r="BS122" s="391"/>
      <c r="BT122" s="391"/>
      <c r="BU122" s="391"/>
      <c r="BV122" s="570"/>
      <c r="BW122" s="570"/>
      <c r="BX122" s="570"/>
      <c r="BY122" s="570"/>
      <c r="BZ122" s="391"/>
      <c r="CA122" s="738"/>
      <c r="CB122" s="739"/>
      <c r="CC122" s="685"/>
      <c r="CD122" s="685"/>
      <c r="CE122" s="579"/>
      <c r="CF122" s="579"/>
      <c r="CG122" s="579"/>
      <c r="CH122" s="579"/>
      <c r="CI122" s="588"/>
      <c r="CJ122" s="588"/>
      <c r="CK122" s="588"/>
      <c r="CL122" s="570"/>
      <c r="CM122" s="570"/>
      <c r="CN122" s="570"/>
      <c r="CO122" s="570"/>
      <c r="CP122" s="391"/>
      <c r="CQ122" s="570"/>
      <c r="CR122" s="570"/>
      <c r="CS122" s="570"/>
      <c r="CT122" s="570"/>
      <c r="CU122" s="570"/>
      <c r="CV122" s="391"/>
      <c r="CW122" s="570"/>
      <c r="CX122" s="570"/>
      <c r="CY122" s="570"/>
      <c r="CZ122" s="570"/>
      <c r="DA122" s="570"/>
      <c r="DB122" s="391"/>
      <c r="DC122" s="761"/>
      <c r="DD122" s="684"/>
      <c r="DE122" s="672"/>
      <c r="DF122" s="738"/>
      <c r="DG122" s="739"/>
      <c r="DH122" s="685"/>
      <c r="DI122" s="685"/>
      <c r="DJ122" s="579"/>
      <c r="DK122" s="579"/>
      <c r="DL122" s="579"/>
      <c r="DM122" s="579"/>
      <c r="DN122" s="588"/>
      <c r="DO122" s="588"/>
      <c r="DP122" s="588"/>
      <c r="DQ122" s="324"/>
      <c r="DR122" s="691"/>
      <c r="DS122" s="324"/>
      <c r="DT122" s="690"/>
      <c r="DU122" s="324"/>
      <c r="DV122" s="570"/>
      <c r="DW122" s="570"/>
      <c r="DX122" s="570"/>
      <c r="EO122" s="570"/>
      <c r="EP122" s="570"/>
      <c r="EQ122" s="570"/>
      <c r="ER122" s="570"/>
      <c r="ES122" s="391"/>
      <c r="ET122" s="570"/>
      <c r="EU122" s="393"/>
      <c r="EV122" s="393"/>
      <c r="EW122" s="393"/>
      <c r="EX122" s="393"/>
      <c r="EY122" s="570"/>
      <c r="EZ122" s="570"/>
      <c r="FA122" s="324"/>
      <c r="FB122" s="324"/>
      <c r="FC122" s="684"/>
      <c r="FD122" s="761"/>
      <c r="FE122" s="738"/>
      <c r="FF122" s="739"/>
      <c r="FG122" s="685"/>
      <c r="FH122" s="685"/>
      <c r="FI122" s="685"/>
      <c r="FJ122" s="685"/>
      <c r="FK122" s="685"/>
      <c r="FL122" s="685"/>
      <c r="FM122" s="685"/>
      <c r="FN122" s="685"/>
      <c r="FO122" s="685"/>
      <c r="FP122" s="685"/>
      <c r="FQ122" s="579"/>
      <c r="FR122" s="579"/>
      <c r="FS122" s="579"/>
      <c r="FT122" s="579"/>
      <c r="FU122" s="579"/>
      <c r="FV122" s="579"/>
      <c r="FW122" s="579"/>
      <c r="FX122" s="579"/>
      <c r="FY122" s="588"/>
      <c r="FZ122" s="588"/>
      <c r="GA122" s="588"/>
      <c r="GB122" s="324"/>
      <c r="GC122" s="691"/>
      <c r="GD122" s="324"/>
      <c r="GE122" s="690"/>
      <c r="GF122" s="324"/>
      <c r="GG122" s="324"/>
      <c r="GH122" s="324"/>
      <c r="GI122" s="324"/>
      <c r="GJ122" s="71"/>
      <c r="GK122" s="71"/>
      <c r="GL122" s="324"/>
      <c r="GM122" s="324"/>
      <c r="GN122" s="324"/>
      <c r="GO122" s="324"/>
      <c r="GP122" s="324"/>
      <c r="GQ122" s="324"/>
      <c r="GR122" s="324"/>
      <c r="GS122" s="324"/>
      <c r="GT122" s="324"/>
      <c r="HG122" s="325"/>
      <c r="HH122" s="325"/>
      <c r="HI122" s="325"/>
      <c r="HJ122" s="684"/>
      <c r="HK122" s="684"/>
      <c r="HL122" s="684"/>
    </row>
    <row r="123" spans="1:220" ht="14.25" customHeight="1">
      <c r="A123" s="324"/>
      <c r="B123" s="652"/>
      <c r="C123" s="763"/>
      <c r="D123" s="890"/>
      <c r="E123" s="742"/>
      <c r="F123" s="742"/>
      <c r="G123" s="739"/>
      <c r="H123" s="739"/>
      <c r="I123" s="740"/>
      <c r="J123" s="680"/>
      <c r="K123" s="680"/>
      <c r="L123" s="680"/>
      <c r="M123" s="680"/>
      <c r="N123" s="588"/>
      <c r="O123" s="588"/>
      <c r="P123" s="324"/>
      <c r="Q123" s="324"/>
      <c r="R123" s="324"/>
      <c r="S123" s="324"/>
      <c r="T123" s="763"/>
      <c r="U123" s="684"/>
      <c r="V123" s="672"/>
      <c r="W123" s="738"/>
      <c r="X123" s="739"/>
      <c r="Y123" s="685"/>
      <c r="Z123" s="685"/>
      <c r="AA123" s="579"/>
      <c r="AB123" s="579"/>
      <c r="AC123" s="579"/>
      <c r="AD123" s="579"/>
      <c r="AE123" s="588"/>
      <c r="AF123" s="588"/>
      <c r="AG123" s="588"/>
      <c r="AH123" s="51"/>
      <c r="AI123" s="764"/>
      <c r="AJ123" s="764"/>
      <c r="AK123" s="693"/>
      <c r="AL123" s="324"/>
      <c r="AM123" s="570"/>
      <c r="AN123" s="589"/>
      <c r="AO123" s="391"/>
      <c r="AP123" s="391"/>
      <c r="AQ123" s="391"/>
      <c r="AS123" s="579"/>
      <c r="AT123" s="579"/>
      <c r="AU123" s="579"/>
      <c r="AV123" s="579"/>
      <c r="AW123" s="588"/>
      <c r="AX123" s="391"/>
      <c r="AY123" s="589"/>
      <c r="AZ123" s="391"/>
      <c r="BA123" s="327"/>
      <c r="BB123" s="327"/>
      <c r="BC123" s="327"/>
      <c r="BD123" s="327"/>
      <c r="BE123" s="288"/>
      <c r="BF123" s="594"/>
      <c r="BG123" s="594"/>
      <c r="BH123" s="594"/>
      <c r="BI123" s="594"/>
      <c r="BK123" s="391"/>
      <c r="BM123" s="391"/>
      <c r="BN123" s="391"/>
      <c r="BO123" s="391"/>
      <c r="BP123" s="391"/>
      <c r="BQ123" s="391"/>
      <c r="BR123" s="391"/>
      <c r="BS123" s="391"/>
      <c r="BT123" s="391"/>
      <c r="BU123" s="391"/>
      <c r="BV123" s="570"/>
      <c r="BW123" s="570"/>
      <c r="BX123" s="570"/>
      <c r="BY123" s="570"/>
      <c r="BZ123" s="391"/>
      <c r="CA123" s="738"/>
      <c r="CB123" s="739"/>
      <c r="CC123" s="685"/>
      <c r="CD123" s="685"/>
      <c r="CE123" s="579"/>
      <c r="CF123" s="579"/>
      <c r="CG123" s="579"/>
      <c r="CH123" s="579"/>
      <c r="CI123" s="588"/>
      <c r="CJ123" s="588"/>
      <c r="CK123" s="588"/>
      <c r="CL123" s="570"/>
      <c r="CM123" s="570"/>
      <c r="CN123" s="570"/>
      <c r="CO123" s="570"/>
      <c r="CP123" s="391"/>
      <c r="CQ123" s="570"/>
      <c r="CR123" s="570"/>
      <c r="CS123" s="570"/>
      <c r="CT123" s="570"/>
      <c r="CU123" s="570"/>
      <c r="CV123" s="391"/>
      <c r="CW123" s="570"/>
      <c r="CX123" s="570"/>
      <c r="CY123" s="570"/>
      <c r="CZ123" s="570"/>
      <c r="DA123" s="570"/>
      <c r="DB123" s="391"/>
      <c r="DC123" s="763"/>
      <c r="DD123" s="684"/>
      <c r="DE123" s="672"/>
      <c r="DF123" s="738"/>
      <c r="DG123" s="739"/>
      <c r="DH123" s="685"/>
      <c r="DI123" s="685"/>
      <c r="DJ123" s="579"/>
      <c r="DK123" s="579"/>
      <c r="DL123" s="579"/>
      <c r="DM123" s="579"/>
      <c r="DN123" s="588"/>
      <c r="DO123" s="588"/>
      <c r="DP123" s="588"/>
      <c r="DQ123" s="51"/>
      <c r="DR123" s="764"/>
      <c r="DS123" s="764"/>
      <c r="DT123" s="693"/>
      <c r="DU123" s="324"/>
      <c r="DV123" s="570"/>
      <c r="DW123" s="570"/>
      <c r="DX123" s="570"/>
      <c r="EO123" s="570"/>
      <c r="EP123" s="570"/>
      <c r="EQ123" s="570"/>
      <c r="ER123" s="570"/>
      <c r="ES123" s="391"/>
      <c r="ET123" s="570"/>
      <c r="EU123" s="393"/>
      <c r="EV123" s="393"/>
      <c r="EW123" s="393"/>
      <c r="EX123" s="393"/>
      <c r="EY123" s="570"/>
      <c r="EZ123" s="570"/>
      <c r="FA123" s="324"/>
      <c r="FB123" s="324"/>
      <c r="FC123" s="684"/>
      <c r="FD123" s="763"/>
      <c r="FE123" s="738"/>
      <c r="FF123" s="739"/>
      <c r="FG123" s="685"/>
      <c r="FH123" s="685"/>
      <c r="FI123" s="685"/>
      <c r="FJ123" s="685"/>
      <c r="FK123" s="685"/>
      <c r="FL123" s="685"/>
      <c r="FM123" s="685"/>
      <c r="FN123" s="685"/>
      <c r="FO123" s="685"/>
      <c r="FP123" s="685"/>
      <c r="FQ123" s="579"/>
      <c r="FR123" s="579"/>
      <c r="FS123" s="579"/>
      <c r="FT123" s="579"/>
      <c r="FU123" s="579"/>
      <c r="FV123" s="579"/>
      <c r="FW123" s="579"/>
      <c r="FX123" s="579"/>
      <c r="FY123" s="588"/>
      <c r="FZ123" s="588"/>
      <c r="GA123" s="588"/>
      <c r="GB123" s="51"/>
      <c r="GC123" s="764"/>
      <c r="GD123" s="764"/>
      <c r="GE123" s="693"/>
      <c r="GF123" s="324"/>
      <c r="GG123" s="324"/>
      <c r="GH123" s="324"/>
      <c r="GI123" s="324"/>
      <c r="GJ123" s="71"/>
      <c r="GK123" s="71"/>
      <c r="GL123" s="324"/>
      <c r="GM123" s="324"/>
      <c r="GN123" s="324"/>
      <c r="GO123" s="324"/>
      <c r="GP123" s="324"/>
      <c r="GQ123" s="324"/>
      <c r="GR123" s="324"/>
      <c r="GS123" s="324"/>
      <c r="GT123" s="324"/>
      <c r="HG123" s="325"/>
      <c r="HH123" s="325"/>
      <c r="HI123" s="325"/>
      <c r="HJ123" s="684"/>
      <c r="HK123" s="684"/>
      <c r="HL123" s="684"/>
    </row>
    <row r="124" spans="1:220" ht="15">
      <c r="A124" s="324"/>
      <c r="B124" s="672"/>
      <c r="C124" s="763"/>
      <c r="D124" s="890"/>
      <c r="E124" s="742"/>
      <c r="F124" s="742"/>
      <c r="G124" s="739"/>
      <c r="H124" s="739"/>
      <c r="I124" s="740"/>
      <c r="J124" s="680"/>
      <c r="K124" s="680"/>
      <c r="L124" s="680"/>
      <c r="M124" s="680"/>
      <c r="N124" s="588"/>
      <c r="O124" s="588"/>
      <c r="P124" s="324"/>
      <c r="Q124" s="324"/>
      <c r="R124" s="324"/>
      <c r="S124" s="324"/>
      <c r="T124" s="763"/>
      <c r="U124" s="684"/>
      <c r="V124" s="672"/>
      <c r="W124" s="738"/>
      <c r="X124" s="739"/>
      <c r="Y124" s="685"/>
      <c r="Z124" s="685"/>
      <c r="AA124" s="579"/>
      <c r="AB124" s="579"/>
      <c r="AC124" s="579"/>
      <c r="AD124" s="579"/>
      <c r="AE124" s="588"/>
      <c r="AF124" s="588"/>
      <c r="AG124" s="588"/>
      <c r="AH124" s="51"/>
      <c r="AI124" s="694"/>
      <c r="AJ124" s="694"/>
      <c r="AK124" s="694"/>
      <c r="AL124" s="324"/>
      <c r="AM124" s="570"/>
      <c r="AN124" s="589"/>
      <c r="AO124" s="391"/>
      <c r="AP124" s="391"/>
      <c r="AQ124" s="391"/>
      <c r="AS124" s="579"/>
      <c r="AT124" s="579"/>
      <c r="AU124" s="579"/>
      <c r="AV124" s="579"/>
      <c r="AW124" s="588"/>
      <c r="AX124" s="391"/>
      <c r="AY124" s="589"/>
      <c r="AZ124" s="391"/>
      <c r="BA124" s="327"/>
      <c r="BB124" s="327"/>
      <c r="BC124" s="327"/>
      <c r="BD124" s="327"/>
      <c r="BE124" s="288"/>
      <c r="BF124" s="594"/>
      <c r="BG124" s="594"/>
      <c r="BH124" s="594"/>
      <c r="BI124" s="594"/>
      <c r="BK124" s="391"/>
      <c r="BM124" s="391"/>
      <c r="BN124" s="391"/>
      <c r="BO124" s="391"/>
      <c r="BP124" s="391"/>
      <c r="BQ124" s="391"/>
      <c r="BR124" s="391"/>
      <c r="BS124" s="391"/>
      <c r="BT124" s="391"/>
      <c r="BU124" s="391"/>
      <c r="BV124" s="570"/>
      <c r="BW124" s="570"/>
      <c r="BX124" s="570"/>
      <c r="BY124" s="570"/>
      <c r="BZ124" s="391"/>
      <c r="CA124" s="738"/>
      <c r="CB124" s="739"/>
      <c r="CC124" s="685"/>
      <c r="CD124" s="685"/>
      <c r="CE124" s="579"/>
      <c r="CF124" s="579"/>
      <c r="CG124" s="579"/>
      <c r="CH124" s="579"/>
      <c r="CI124" s="588"/>
      <c r="CJ124" s="588"/>
      <c r="CK124" s="588"/>
      <c r="CL124" s="570"/>
      <c r="CM124" s="570"/>
      <c r="CN124" s="570"/>
      <c r="CO124" s="570"/>
      <c r="CP124" s="391"/>
      <c r="CQ124" s="570"/>
      <c r="CR124" s="570"/>
      <c r="CS124" s="570"/>
      <c r="CT124" s="570"/>
      <c r="CU124" s="570"/>
      <c r="CV124" s="391"/>
      <c r="CW124" s="570"/>
      <c r="CX124" s="570"/>
      <c r="CY124" s="570"/>
      <c r="CZ124" s="570"/>
      <c r="DA124" s="570"/>
      <c r="DB124" s="391"/>
      <c r="DC124" s="763"/>
      <c r="DD124" s="684"/>
      <c r="DE124" s="672"/>
      <c r="DF124" s="738"/>
      <c r="DG124" s="739"/>
      <c r="DH124" s="685"/>
      <c r="DI124" s="685"/>
      <c r="DJ124" s="579"/>
      <c r="DK124" s="579"/>
      <c r="DL124" s="579"/>
      <c r="DM124" s="579"/>
      <c r="DN124" s="588"/>
      <c r="DO124" s="588"/>
      <c r="DP124" s="588"/>
      <c r="DQ124" s="51"/>
      <c r="DR124" s="694"/>
      <c r="DS124" s="694"/>
      <c r="DT124" s="694"/>
      <c r="DU124" s="324"/>
      <c r="DV124" s="570"/>
      <c r="DW124" s="570"/>
      <c r="DX124" s="570"/>
      <c r="EO124" s="570"/>
      <c r="EP124" s="570"/>
      <c r="EQ124" s="570"/>
      <c r="ER124" s="570"/>
      <c r="ES124" s="391"/>
      <c r="ET124" s="570"/>
      <c r="EU124" s="393"/>
      <c r="EV124" s="393"/>
      <c r="EW124" s="393"/>
      <c r="EX124" s="393"/>
      <c r="EY124" s="570"/>
      <c r="EZ124" s="570"/>
      <c r="FA124" s="324"/>
      <c r="FB124" s="324"/>
      <c r="FC124" s="684"/>
      <c r="FD124" s="763"/>
      <c r="FE124" s="738"/>
      <c r="FF124" s="739"/>
      <c r="FG124" s="685"/>
      <c r="FH124" s="685"/>
      <c r="FI124" s="685"/>
      <c r="FJ124" s="685"/>
      <c r="FK124" s="685"/>
      <c r="FL124" s="685"/>
      <c r="FM124" s="685"/>
      <c r="FN124" s="685"/>
      <c r="FO124" s="685"/>
      <c r="FP124" s="685"/>
      <c r="FQ124" s="579"/>
      <c r="FR124" s="579"/>
      <c r="FS124" s="579"/>
      <c r="FT124" s="579"/>
      <c r="FU124" s="579"/>
      <c r="FV124" s="579"/>
      <c r="FW124" s="579"/>
      <c r="FX124" s="579"/>
      <c r="FY124" s="588"/>
      <c r="FZ124" s="588"/>
      <c r="GA124" s="588"/>
      <c r="GB124" s="51"/>
      <c r="GC124" s="694"/>
      <c r="GD124" s="694"/>
      <c r="GE124" s="694"/>
      <c r="GF124" s="324"/>
      <c r="GG124" s="324"/>
      <c r="GH124" s="324"/>
      <c r="GI124" s="324"/>
      <c r="GJ124" s="71"/>
      <c r="GK124" s="71"/>
      <c r="GL124" s="324"/>
      <c r="GM124" s="324"/>
      <c r="GN124" s="324"/>
      <c r="GO124" s="324"/>
      <c r="GP124" s="324"/>
      <c r="GQ124" s="324"/>
      <c r="GR124" s="324"/>
      <c r="GS124" s="324"/>
      <c r="GT124" s="324"/>
      <c r="HG124" s="325"/>
      <c r="HH124" s="325"/>
      <c r="HI124" s="325"/>
      <c r="HJ124" s="684"/>
      <c r="HK124" s="684"/>
      <c r="HL124" s="684"/>
    </row>
    <row r="125" spans="1:220" ht="15" customHeight="1">
      <c r="A125" s="324"/>
      <c r="B125" s="672"/>
      <c r="C125" s="763"/>
      <c r="D125" s="890"/>
      <c r="E125" s="742"/>
      <c r="F125" s="742"/>
      <c r="G125" s="739"/>
      <c r="H125" s="739"/>
      <c r="I125" s="740"/>
      <c r="J125" s="680"/>
      <c r="K125" s="680"/>
      <c r="L125" s="680"/>
      <c r="M125" s="680"/>
      <c r="N125" s="588"/>
      <c r="O125" s="588"/>
      <c r="P125" s="324"/>
      <c r="Q125" s="324"/>
      <c r="R125" s="324"/>
      <c r="S125" s="324"/>
      <c r="T125" s="763"/>
      <c r="U125" s="684"/>
      <c r="V125" s="672"/>
      <c r="W125" s="738"/>
      <c r="X125" s="739"/>
      <c r="Y125" s="685"/>
      <c r="Z125" s="685"/>
      <c r="AA125" s="579"/>
      <c r="AB125" s="579"/>
      <c r="AC125" s="579"/>
      <c r="AD125" s="579"/>
      <c r="AE125" s="588"/>
      <c r="AF125" s="588"/>
      <c r="AG125" s="588"/>
      <c r="AH125" s="51"/>
      <c r="AI125" s="695"/>
      <c r="AJ125" s="695"/>
      <c r="AK125" s="695"/>
      <c r="AL125" s="324"/>
      <c r="AM125" s="570"/>
      <c r="AN125" s="589"/>
      <c r="AO125" s="391"/>
      <c r="AP125" s="391"/>
      <c r="AQ125" s="391"/>
      <c r="AS125" s="579"/>
      <c r="AT125" s="579"/>
      <c r="AU125" s="579"/>
      <c r="AV125" s="579"/>
      <c r="AW125" s="588"/>
      <c r="AX125" s="391"/>
      <c r="AY125" s="589"/>
      <c r="AZ125" s="391"/>
      <c r="BA125" s="327"/>
      <c r="BB125" s="327"/>
      <c r="BC125" s="327"/>
      <c r="BD125" s="327"/>
      <c r="BE125" s="288"/>
      <c r="BF125" s="594"/>
      <c r="BG125" s="594"/>
      <c r="BH125" s="594"/>
      <c r="BI125" s="594"/>
      <c r="BK125" s="391"/>
      <c r="BM125" s="391"/>
      <c r="BN125" s="391"/>
      <c r="BO125" s="391"/>
      <c r="BP125" s="391"/>
      <c r="BQ125" s="391"/>
      <c r="BR125" s="391"/>
      <c r="BS125" s="391"/>
      <c r="BT125" s="391"/>
      <c r="BU125" s="391"/>
      <c r="BV125" s="570"/>
      <c r="BW125" s="570"/>
      <c r="BX125" s="570"/>
      <c r="BY125" s="570"/>
      <c r="BZ125" s="391"/>
      <c r="CA125" s="738"/>
      <c r="CB125" s="739"/>
      <c r="CC125" s="685"/>
      <c r="CD125" s="685"/>
      <c r="CE125" s="579"/>
      <c r="CF125" s="579"/>
      <c r="CG125" s="579"/>
      <c r="CH125" s="579"/>
      <c r="CI125" s="588"/>
      <c r="CJ125" s="588"/>
      <c r="CK125" s="588"/>
      <c r="CL125" s="570"/>
      <c r="CM125" s="570"/>
      <c r="CN125" s="570"/>
      <c r="CO125" s="570"/>
      <c r="CP125" s="391"/>
      <c r="CQ125" s="570"/>
      <c r="CR125" s="570"/>
      <c r="CS125" s="570"/>
      <c r="CT125" s="570"/>
      <c r="CU125" s="570"/>
      <c r="CV125" s="391"/>
      <c r="CW125" s="570"/>
      <c r="CX125" s="570"/>
      <c r="CY125" s="570"/>
      <c r="CZ125" s="570"/>
      <c r="DA125" s="570"/>
      <c r="DB125" s="391"/>
      <c r="DC125" s="763"/>
      <c r="DD125" s="684"/>
      <c r="DE125" s="672"/>
      <c r="DF125" s="738"/>
      <c r="DG125" s="739"/>
      <c r="DH125" s="685"/>
      <c r="DI125" s="685"/>
      <c r="DJ125" s="579"/>
      <c r="DK125" s="579"/>
      <c r="DL125" s="579"/>
      <c r="DM125" s="579"/>
      <c r="DN125" s="588"/>
      <c r="DO125" s="588"/>
      <c r="DP125" s="588"/>
      <c r="DQ125" s="51"/>
      <c r="DR125" s="695"/>
      <c r="DS125" s="695"/>
      <c r="DT125" s="695"/>
      <c r="DU125" s="324"/>
      <c r="DV125" s="570"/>
      <c r="DW125" s="570"/>
      <c r="DX125" s="570"/>
      <c r="EO125" s="570"/>
      <c r="EP125" s="570"/>
      <c r="EQ125" s="570"/>
      <c r="ER125" s="570"/>
      <c r="ES125" s="391"/>
      <c r="ET125" s="570"/>
      <c r="EU125" s="393"/>
      <c r="EV125" s="393"/>
      <c r="EW125" s="393"/>
      <c r="EX125" s="393"/>
      <c r="EY125" s="570"/>
      <c r="EZ125" s="570"/>
      <c r="FA125" s="324"/>
      <c r="FB125" s="324"/>
      <c r="FC125" s="684"/>
      <c r="FD125" s="763"/>
      <c r="FE125" s="738"/>
      <c r="FF125" s="739"/>
      <c r="FG125" s="685"/>
      <c r="FH125" s="685"/>
      <c r="FI125" s="685"/>
      <c r="FJ125" s="685"/>
      <c r="FK125" s="685"/>
      <c r="FL125" s="685"/>
      <c r="FM125" s="685"/>
      <c r="FN125" s="685"/>
      <c r="FO125" s="685"/>
      <c r="FP125" s="685"/>
      <c r="FQ125" s="579"/>
      <c r="FR125" s="579"/>
      <c r="FS125" s="579"/>
      <c r="FT125" s="579"/>
      <c r="FU125" s="579"/>
      <c r="FV125" s="579"/>
      <c r="FW125" s="579"/>
      <c r="FX125" s="579"/>
      <c r="FY125" s="588"/>
      <c r="FZ125" s="588"/>
      <c r="GA125" s="588"/>
      <c r="GB125" s="51"/>
      <c r="GC125" s="695"/>
      <c r="GD125" s="695"/>
      <c r="GE125" s="695"/>
      <c r="GF125" s="324"/>
      <c r="GG125" s="324"/>
      <c r="GH125" s="324"/>
      <c r="GI125" s="324"/>
      <c r="GJ125" s="71"/>
      <c r="GK125" s="71"/>
      <c r="GL125" s="324"/>
      <c r="GM125" s="324"/>
      <c r="GN125" s="324"/>
      <c r="GO125" s="324"/>
      <c r="GP125" s="324"/>
      <c r="GQ125" s="324"/>
      <c r="GR125" s="324"/>
      <c r="GS125" s="324"/>
      <c r="GT125" s="324"/>
      <c r="HG125" s="325"/>
      <c r="HH125" s="325"/>
      <c r="HI125" s="325"/>
      <c r="HJ125" s="684"/>
      <c r="HK125" s="684"/>
      <c r="HL125" s="684"/>
    </row>
    <row r="126" spans="1:220" ht="15" customHeight="1">
      <c r="A126" s="324"/>
      <c r="B126" s="672"/>
      <c r="C126" s="763"/>
      <c r="D126" s="752"/>
      <c r="E126" s="738"/>
      <c r="F126" s="738"/>
      <c r="G126" s="739"/>
      <c r="H126" s="739"/>
      <c r="I126" s="739"/>
      <c r="J126" s="579"/>
      <c r="K126" s="579"/>
      <c r="L126" s="680"/>
      <c r="M126" s="680"/>
      <c r="N126" s="588"/>
      <c r="O126" s="588"/>
      <c r="P126" s="324"/>
      <c r="Q126" s="324"/>
      <c r="R126" s="324"/>
      <c r="S126" s="324"/>
      <c r="T126" s="763"/>
      <c r="U126" s="684"/>
      <c r="V126" s="672"/>
      <c r="W126" s="738"/>
      <c r="X126" s="739"/>
      <c r="Y126" s="685"/>
      <c r="Z126" s="685"/>
      <c r="AA126" s="590"/>
      <c r="AB126" s="590"/>
      <c r="AC126" s="579"/>
      <c r="AD126" s="579"/>
      <c r="AE126" s="588"/>
      <c r="AF126" s="588"/>
      <c r="AG126" s="588"/>
      <c r="AH126" s="51"/>
      <c r="AI126" s="695"/>
      <c r="AJ126" s="695"/>
      <c r="AK126" s="695"/>
      <c r="AL126" s="324"/>
      <c r="AM126" s="570"/>
      <c r="AN126" s="589"/>
      <c r="AO126" s="391"/>
      <c r="AP126" s="391"/>
      <c r="AQ126" s="391"/>
      <c r="AS126" s="579"/>
      <c r="AT126" s="579"/>
      <c r="AU126" s="579"/>
      <c r="AV126" s="579"/>
      <c r="AW126" s="588"/>
      <c r="AX126" s="391"/>
      <c r="AY126" s="589"/>
      <c r="AZ126" s="391"/>
      <c r="BA126" s="327"/>
      <c r="BB126" s="327"/>
      <c r="BC126" s="327"/>
      <c r="BD126" s="327"/>
      <c r="BE126" s="288"/>
      <c r="BF126" s="594"/>
      <c r="BG126" s="594"/>
      <c r="BH126" s="594"/>
      <c r="BI126" s="594"/>
      <c r="BK126" s="391"/>
      <c r="BM126" s="391"/>
      <c r="BN126" s="391"/>
      <c r="BO126" s="391"/>
      <c r="BP126" s="391"/>
      <c r="BQ126" s="391"/>
      <c r="BR126" s="391"/>
      <c r="BS126" s="391"/>
      <c r="BT126" s="391"/>
      <c r="BU126" s="391"/>
      <c r="BV126" s="570"/>
      <c r="BW126" s="570"/>
      <c r="BX126" s="570"/>
      <c r="BY126" s="570"/>
      <c r="BZ126" s="391"/>
      <c r="CA126" s="738"/>
      <c r="CB126" s="739"/>
      <c r="CC126" s="685"/>
      <c r="CD126" s="685"/>
      <c r="CE126" s="590"/>
      <c r="CF126" s="590"/>
      <c r="CG126" s="579"/>
      <c r="CH126" s="579"/>
      <c r="CI126" s="588"/>
      <c r="CJ126" s="588"/>
      <c r="CK126" s="588"/>
      <c r="CL126" s="570"/>
      <c r="CM126" s="570"/>
      <c r="CN126" s="570"/>
      <c r="CO126" s="570"/>
      <c r="CP126" s="391"/>
      <c r="CQ126" s="570"/>
      <c r="CR126" s="570"/>
      <c r="CS126" s="570"/>
      <c r="CT126" s="570"/>
      <c r="CU126" s="570"/>
      <c r="CV126" s="391"/>
      <c r="CW126" s="570"/>
      <c r="CX126" s="570"/>
      <c r="CY126" s="570"/>
      <c r="CZ126" s="570"/>
      <c r="DA126" s="570"/>
      <c r="DB126" s="391"/>
      <c r="DC126" s="763"/>
      <c r="DD126" s="684"/>
      <c r="DE126" s="672"/>
      <c r="DF126" s="738"/>
      <c r="DG126" s="739"/>
      <c r="DH126" s="685"/>
      <c r="DI126" s="685"/>
      <c r="DJ126" s="579"/>
      <c r="DK126" s="579"/>
      <c r="DL126" s="579"/>
      <c r="DM126" s="579"/>
      <c r="DN126" s="588"/>
      <c r="DO126" s="588"/>
      <c r="DP126" s="588"/>
      <c r="DQ126" s="51"/>
      <c r="DR126" s="695"/>
      <c r="DS126" s="695"/>
      <c r="DT126" s="695"/>
      <c r="DU126" s="324"/>
      <c r="DV126" s="570"/>
      <c r="DW126" s="570"/>
      <c r="DX126" s="570"/>
      <c r="EO126" s="570"/>
      <c r="EP126" s="570"/>
      <c r="EQ126" s="570"/>
      <c r="ER126" s="570"/>
      <c r="ES126" s="391"/>
      <c r="ET126" s="570"/>
      <c r="EU126" s="393"/>
      <c r="EV126" s="393"/>
      <c r="EW126" s="393"/>
      <c r="EX126" s="393"/>
      <c r="EY126" s="570"/>
      <c r="EZ126" s="570"/>
      <c r="FA126" s="324"/>
      <c r="FB126" s="324"/>
      <c r="FC126" s="684"/>
      <c r="FD126" s="763"/>
      <c r="FE126" s="738"/>
      <c r="FF126" s="739"/>
      <c r="FG126" s="685"/>
      <c r="FH126" s="685"/>
      <c r="FI126" s="685"/>
      <c r="FJ126" s="685"/>
      <c r="FK126" s="685"/>
      <c r="FL126" s="685"/>
      <c r="FM126" s="685"/>
      <c r="FN126" s="685"/>
      <c r="FO126" s="685"/>
      <c r="FP126" s="685"/>
      <c r="FQ126" s="579"/>
      <c r="FR126" s="579"/>
      <c r="FS126" s="579"/>
      <c r="FT126" s="579"/>
      <c r="FU126" s="579"/>
      <c r="FV126" s="579"/>
      <c r="FW126" s="579"/>
      <c r="FX126" s="579"/>
      <c r="FY126" s="588"/>
      <c r="FZ126" s="588"/>
      <c r="GA126" s="588"/>
      <c r="GB126" s="51"/>
      <c r="GC126" s="695"/>
      <c r="GD126" s="695"/>
      <c r="GE126" s="695"/>
      <c r="GF126" s="324"/>
      <c r="GG126" s="324"/>
      <c r="GH126" s="324"/>
      <c r="GI126" s="324"/>
      <c r="GJ126" s="71"/>
      <c r="GK126" s="71"/>
      <c r="GL126" s="324"/>
      <c r="GM126" s="324"/>
      <c r="GN126" s="324"/>
      <c r="GO126" s="324"/>
      <c r="GP126" s="324"/>
      <c r="GQ126" s="324"/>
      <c r="GR126" s="324"/>
      <c r="GS126" s="324"/>
      <c r="GT126" s="324"/>
      <c r="HG126" s="325"/>
      <c r="HH126" s="325"/>
      <c r="HI126" s="325"/>
      <c r="HJ126" s="684"/>
      <c r="HK126" s="684"/>
      <c r="HL126" s="684"/>
    </row>
    <row r="127" spans="1:220" ht="15" customHeight="1">
      <c r="A127" s="324"/>
      <c r="B127" s="674"/>
      <c r="C127" s="763"/>
      <c r="D127" s="752"/>
      <c r="E127" s="738"/>
      <c r="F127" s="738"/>
      <c r="G127" s="739"/>
      <c r="H127" s="739"/>
      <c r="I127" s="739"/>
      <c r="J127" s="579"/>
      <c r="K127" s="579"/>
      <c r="L127" s="680"/>
      <c r="M127" s="680"/>
      <c r="N127" s="588"/>
      <c r="O127" s="588"/>
      <c r="P127" s="324"/>
      <c r="Q127" s="324"/>
      <c r="R127" s="324"/>
      <c r="S127" s="324"/>
      <c r="T127" s="763"/>
      <c r="U127" s="684"/>
      <c r="V127" s="672"/>
      <c r="W127" s="738"/>
      <c r="X127" s="739"/>
      <c r="Y127" s="685"/>
      <c r="Z127" s="685"/>
      <c r="AA127" s="590"/>
      <c r="AB127" s="590"/>
      <c r="AC127" s="579"/>
      <c r="AD127" s="579"/>
      <c r="AE127" s="588"/>
      <c r="AF127" s="588"/>
      <c r="AG127" s="588"/>
      <c r="AH127" s="51"/>
      <c r="AI127" s="695"/>
      <c r="AJ127" s="695"/>
      <c r="AK127" s="695"/>
      <c r="AL127" s="324"/>
      <c r="AM127" s="570"/>
      <c r="AN127" s="589"/>
      <c r="AO127" s="391"/>
      <c r="AP127" s="391"/>
      <c r="AQ127" s="391"/>
      <c r="AS127" s="579"/>
      <c r="AT127" s="579"/>
      <c r="AU127" s="579"/>
      <c r="AV127" s="579"/>
      <c r="AW127" s="588"/>
      <c r="AX127" s="391"/>
      <c r="AY127" s="589"/>
      <c r="AZ127" s="391"/>
      <c r="BA127" s="327"/>
      <c r="BB127" s="327"/>
      <c r="BC127" s="327"/>
      <c r="BD127" s="327"/>
      <c r="BE127" s="288"/>
      <c r="BF127" s="594"/>
      <c r="BG127" s="594"/>
      <c r="BH127" s="594"/>
      <c r="BI127" s="594"/>
      <c r="BK127" s="391"/>
      <c r="BM127" s="391"/>
      <c r="BN127" s="391"/>
      <c r="BO127" s="391"/>
      <c r="BP127" s="391"/>
      <c r="BQ127" s="391"/>
      <c r="BR127" s="391"/>
      <c r="BS127" s="391"/>
      <c r="BT127" s="391"/>
      <c r="BU127" s="391"/>
      <c r="BV127" s="570"/>
      <c r="BW127" s="570"/>
      <c r="BX127" s="570"/>
      <c r="BY127" s="570"/>
      <c r="BZ127" s="391"/>
      <c r="CA127" s="738"/>
      <c r="CB127" s="739"/>
      <c r="CC127" s="685"/>
      <c r="CD127" s="685"/>
      <c r="CE127" s="590"/>
      <c r="CF127" s="590"/>
      <c r="CG127" s="579"/>
      <c r="CH127" s="579"/>
      <c r="CI127" s="588"/>
      <c r="CJ127" s="588"/>
      <c r="CK127" s="588"/>
      <c r="CL127" s="570"/>
      <c r="CM127" s="570"/>
      <c r="CN127" s="570"/>
      <c r="CO127" s="570"/>
      <c r="CP127" s="391"/>
      <c r="CQ127" s="570"/>
      <c r="CR127" s="570"/>
      <c r="CS127" s="570"/>
      <c r="CT127" s="570"/>
      <c r="CU127" s="570"/>
      <c r="CV127" s="391"/>
      <c r="CW127" s="570"/>
      <c r="CX127" s="570"/>
      <c r="CY127" s="570"/>
      <c r="CZ127" s="570"/>
      <c r="DA127" s="570"/>
      <c r="DB127" s="391"/>
      <c r="DC127" s="763"/>
      <c r="DD127" s="684"/>
      <c r="DE127" s="672"/>
      <c r="DF127" s="738"/>
      <c r="DG127" s="739"/>
      <c r="DH127" s="685"/>
      <c r="DI127" s="685"/>
      <c r="DJ127" s="579"/>
      <c r="DK127" s="579"/>
      <c r="DL127" s="579"/>
      <c r="DM127" s="579"/>
      <c r="DN127" s="588"/>
      <c r="DO127" s="588"/>
      <c r="DP127" s="588"/>
      <c r="DQ127" s="51"/>
      <c r="DR127" s="695"/>
      <c r="DS127" s="695"/>
      <c r="DT127" s="695"/>
      <c r="DU127" s="324"/>
      <c r="DV127" s="570"/>
      <c r="DW127" s="570"/>
      <c r="DX127" s="570"/>
      <c r="EO127" s="570"/>
      <c r="EP127" s="570"/>
      <c r="EQ127" s="570"/>
      <c r="ER127" s="570"/>
      <c r="ES127" s="391"/>
      <c r="ET127" s="570"/>
      <c r="EU127" s="393"/>
      <c r="EV127" s="393"/>
      <c r="EW127" s="393"/>
      <c r="EX127" s="393"/>
      <c r="EY127" s="570"/>
      <c r="EZ127" s="570"/>
      <c r="FA127" s="324"/>
      <c r="FB127" s="324"/>
      <c r="FC127" s="684"/>
      <c r="FD127" s="763"/>
      <c r="FE127" s="738"/>
      <c r="FF127" s="739"/>
      <c r="FG127" s="685"/>
      <c r="FH127" s="685"/>
      <c r="FI127" s="685"/>
      <c r="FJ127" s="685"/>
      <c r="FK127" s="685"/>
      <c r="FL127" s="685"/>
      <c r="FM127" s="685"/>
      <c r="FN127" s="685"/>
      <c r="FO127" s="685"/>
      <c r="FP127" s="685"/>
      <c r="FQ127" s="579"/>
      <c r="FR127" s="579"/>
      <c r="FS127" s="579"/>
      <c r="FT127" s="579"/>
      <c r="FU127" s="579"/>
      <c r="FV127" s="579"/>
      <c r="FW127" s="579"/>
      <c r="FX127" s="579"/>
      <c r="FY127" s="588"/>
      <c r="FZ127" s="588"/>
      <c r="GA127" s="588"/>
      <c r="GB127" s="51"/>
      <c r="GC127" s="695"/>
      <c r="GD127" s="695"/>
      <c r="GE127" s="695"/>
      <c r="GF127" s="324"/>
      <c r="GG127" s="324"/>
      <c r="GH127" s="324"/>
      <c r="GI127" s="324"/>
      <c r="GJ127" s="71"/>
      <c r="GK127" s="71"/>
      <c r="GL127" s="324"/>
      <c r="GM127" s="324"/>
      <c r="GN127" s="324"/>
      <c r="GO127" s="324"/>
      <c r="GP127" s="324"/>
      <c r="GQ127" s="324"/>
      <c r="GR127" s="324"/>
      <c r="GS127" s="324"/>
      <c r="GT127" s="324"/>
      <c r="HB127" s="290"/>
      <c r="HG127" s="325"/>
      <c r="HH127" s="325"/>
      <c r="HI127" s="325"/>
      <c r="HJ127" s="684"/>
      <c r="HK127" s="684"/>
      <c r="HL127" s="684"/>
    </row>
    <row r="128" spans="1:220" ht="15" customHeight="1">
      <c r="A128" s="324"/>
      <c r="B128" s="652"/>
      <c r="C128" s="765"/>
      <c r="D128" s="890"/>
      <c r="E128" s="742"/>
      <c r="F128" s="742"/>
      <c r="G128" s="739"/>
      <c r="H128" s="739"/>
      <c r="I128" s="740"/>
      <c r="J128" s="680"/>
      <c r="K128" s="680"/>
      <c r="L128" s="680"/>
      <c r="M128" s="680"/>
      <c r="N128" s="588"/>
      <c r="O128" s="588"/>
      <c r="P128" s="324"/>
      <c r="Q128" s="324"/>
      <c r="R128" s="324"/>
      <c r="S128" s="324"/>
      <c r="T128" s="765"/>
      <c r="U128" s="684"/>
      <c r="V128" s="672"/>
      <c r="W128" s="738"/>
      <c r="X128" s="739"/>
      <c r="Y128" s="685"/>
      <c r="Z128" s="685"/>
      <c r="AA128" s="741"/>
      <c r="AB128" s="741"/>
      <c r="AC128" s="741"/>
      <c r="AD128" s="741"/>
      <c r="AE128" s="588"/>
      <c r="AF128" s="588"/>
      <c r="AG128" s="588"/>
      <c r="AH128" s="51"/>
      <c r="AI128" s="696"/>
      <c r="AJ128" s="696"/>
      <c r="AK128" s="696"/>
      <c r="AL128" s="324"/>
      <c r="AM128" s="570"/>
      <c r="AN128" s="589"/>
      <c r="AO128" s="391"/>
      <c r="AP128" s="391"/>
      <c r="AQ128" s="391"/>
      <c r="AS128" s="579"/>
      <c r="AT128" s="579"/>
      <c r="AU128" s="579"/>
      <c r="AV128" s="579"/>
      <c r="AW128" s="588"/>
      <c r="AX128" s="391"/>
      <c r="AY128" s="589"/>
      <c r="AZ128" s="391"/>
      <c r="BA128" s="327"/>
      <c r="BB128" s="327"/>
      <c r="BC128" s="327"/>
      <c r="BD128" s="327"/>
      <c r="BE128" s="288"/>
      <c r="BF128" s="594"/>
      <c r="BG128" s="594"/>
      <c r="BH128" s="594"/>
      <c r="BI128" s="594"/>
      <c r="BK128" s="391"/>
      <c r="BM128" s="391"/>
      <c r="BN128" s="391"/>
      <c r="BO128" s="391"/>
      <c r="BP128" s="391"/>
      <c r="BQ128" s="391"/>
      <c r="BR128" s="391"/>
      <c r="BS128" s="391"/>
      <c r="BT128" s="391"/>
      <c r="BU128" s="391"/>
      <c r="BV128" s="570"/>
      <c r="BW128" s="570"/>
      <c r="BX128" s="570"/>
      <c r="BY128" s="570"/>
      <c r="BZ128" s="391"/>
      <c r="CA128" s="738"/>
      <c r="CB128" s="739"/>
      <c r="CC128" s="685"/>
      <c r="CD128" s="685"/>
      <c r="CE128" s="741"/>
      <c r="CF128" s="741"/>
      <c r="CG128" s="741"/>
      <c r="CH128" s="741"/>
      <c r="CI128" s="588"/>
      <c r="CJ128" s="588"/>
      <c r="CK128" s="588"/>
      <c r="CL128" s="570"/>
      <c r="CM128" s="570"/>
      <c r="CN128" s="570"/>
      <c r="CO128" s="570"/>
      <c r="CP128" s="391"/>
      <c r="CQ128" s="570"/>
      <c r="CR128" s="570"/>
      <c r="CS128" s="570"/>
      <c r="CT128" s="570"/>
      <c r="CU128" s="570"/>
      <c r="CV128" s="391"/>
      <c r="CW128" s="570"/>
      <c r="CX128" s="570"/>
      <c r="CY128" s="570"/>
      <c r="CZ128" s="570"/>
      <c r="DA128" s="570"/>
      <c r="DB128" s="391"/>
      <c r="DC128" s="765"/>
      <c r="DD128" s="684"/>
      <c r="DE128" s="672"/>
      <c r="DF128" s="738"/>
      <c r="DG128" s="739"/>
      <c r="DH128" s="685"/>
      <c r="DI128" s="685"/>
      <c r="DJ128" s="579"/>
      <c r="DK128" s="579"/>
      <c r="DL128" s="579"/>
      <c r="DM128" s="579"/>
      <c r="DN128" s="588"/>
      <c r="DO128" s="588"/>
      <c r="DP128" s="588"/>
      <c r="DQ128" s="51"/>
      <c r="DR128" s="696"/>
      <c r="DS128" s="696"/>
      <c r="DT128" s="696"/>
      <c r="DU128" s="324"/>
      <c r="DV128" s="570"/>
      <c r="DW128" s="570"/>
      <c r="DX128" s="570"/>
      <c r="EO128" s="570"/>
      <c r="EP128" s="570"/>
      <c r="EQ128" s="570"/>
      <c r="ER128" s="570"/>
      <c r="ES128" s="391"/>
      <c r="ET128" s="570"/>
      <c r="EU128" s="393"/>
      <c r="EV128" s="393"/>
      <c r="EW128" s="393"/>
      <c r="EX128" s="393"/>
      <c r="EY128" s="570"/>
      <c r="EZ128" s="570"/>
      <c r="FA128" s="324"/>
      <c r="FB128" s="324"/>
      <c r="FC128" s="684"/>
      <c r="FD128" s="765"/>
      <c r="FE128" s="738"/>
      <c r="FF128" s="739"/>
      <c r="FG128" s="685"/>
      <c r="FH128" s="685"/>
      <c r="FI128" s="685"/>
      <c r="FJ128" s="685"/>
      <c r="FK128" s="685"/>
      <c r="FL128" s="685"/>
      <c r="FM128" s="685"/>
      <c r="FN128" s="685"/>
      <c r="FO128" s="685"/>
      <c r="FP128" s="685"/>
      <c r="FQ128" s="741"/>
      <c r="FR128" s="741"/>
      <c r="FS128" s="741"/>
      <c r="FT128" s="741"/>
      <c r="FU128" s="741"/>
      <c r="FV128" s="741"/>
      <c r="FW128" s="741"/>
      <c r="FX128" s="741"/>
      <c r="FY128" s="588"/>
      <c r="FZ128" s="588"/>
      <c r="GA128" s="588"/>
      <c r="GB128" s="51"/>
      <c r="GC128" s="696"/>
      <c r="GD128" s="696"/>
      <c r="GE128" s="696"/>
      <c r="GF128" s="324"/>
      <c r="GG128" s="324"/>
      <c r="GH128" s="324"/>
      <c r="GI128" s="324"/>
      <c r="GJ128" s="71"/>
      <c r="GK128" s="71"/>
      <c r="GL128" s="324"/>
      <c r="GM128" s="324"/>
      <c r="GN128" s="324"/>
      <c r="GO128" s="324"/>
      <c r="GP128" s="324"/>
      <c r="GQ128" s="324"/>
      <c r="GR128" s="324"/>
      <c r="GS128" s="324"/>
      <c r="GT128" s="324"/>
      <c r="HG128" s="325"/>
      <c r="HH128" s="325"/>
      <c r="HI128" s="325"/>
      <c r="HJ128" s="684"/>
      <c r="HK128" s="684"/>
      <c r="HL128" s="684"/>
    </row>
    <row r="129" spans="1:220" ht="15.75" customHeight="1">
      <c r="A129" s="324"/>
      <c r="B129" s="672"/>
      <c r="C129" s="765"/>
      <c r="D129" s="890"/>
      <c r="E129" s="742"/>
      <c r="F129" s="742"/>
      <c r="G129" s="739"/>
      <c r="H129" s="739"/>
      <c r="I129" s="740"/>
      <c r="J129" s="680"/>
      <c r="K129" s="680"/>
      <c r="L129" s="680"/>
      <c r="M129" s="680"/>
      <c r="N129" s="588"/>
      <c r="O129" s="588"/>
      <c r="P129" s="324"/>
      <c r="Q129" s="760"/>
      <c r="R129" s="760"/>
      <c r="S129" s="324"/>
      <c r="T129" s="765"/>
      <c r="U129" s="684"/>
      <c r="V129" s="672"/>
      <c r="W129" s="738"/>
      <c r="X129" s="739"/>
      <c r="Y129" s="685"/>
      <c r="Z129" s="685"/>
      <c r="AA129" s="579"/>
      <c r="AB129" s="579"/>
      <c r="AC129" s="579"/>
      <c r="AD129" s="579"/>
      <c r="AE129" s="588"/>
      <c r="AF129" s="588"/>
      <c r="AG129" s="588"/>
      <c r="AH129" s="51"/>
      <c r="AI129" s="696"/>
      <c r="AJ129" s="696"/>
      <c r="AK129" s="696"/>
      <c r="AL129" s="324"/>
      <c r="AM129" s="570"/>
      <c r="AN129" s="589"/>
      <c r="AO129" s="391"/>
      <c r="AP129" s="391"/>
      <c r="AQ129" s="391"/>
      <c r="AS129" s="579"/>
      <c r="AT129" s="579"/>
      <c r="AU129" s="579"/>
      <c r="AV129" s="579"/>
      <c r="AW129" s="588"/>
      <c r="AX129" s="391"/>
      <c r="AY129" s="589"/>
      <c r="AZ129" s="391"/>
      <c r="BA129" s="327"/>
      <c r="BB129" s="327"/>
      <c r="BC129" s="327"/>
      <c r="BD129" s="327"/>
      <c r="BE129" s="593"/>
      <c r="BF129" s="327"/>
      <c r="BG129" s="327"/>
      <c r="BH129" s="327"/>
      <c r="BI129" s="327"/>
      <c r="BK129" s="391"/>
      <c r="BM129" s="393"/>
      <c r="BN129" s="393"/>
      <c r="BO129" s="393"/>
      <c r="BP129" s="393"/>
      <c r="BQ129" s="593"/>
      <c r="BR129" s="593"/>
      <c r="BS129" s="593"/>
      <c r="BT129" s="393"/>
      <c r="BU129" s="393"/>
      <c r="BV129" s="393"/>
      <c r="BW129" s="393"/>
      <c r="BX129" s="391"/>
      <c r="BY129" s="391"/>
      <c r="BZ129" s="391"/>
      <c r="CA129" s="738"/>
      <c r="CB129" s="739"/>
      <c r="CC129" s="685"/>
      <c r="CD129" s="685"/>
      <c r="CE129" s="579"/>
      <c r="CF129" s="579"/>
      <c r="CG129" s="579"/>
      <c r="CH129" s="579"/>
      <c r="CI129" s="588"/>
      <c r="CJ129" s="588"/>
      <c r="CK129" s="588"/>
      <c r="CL129" s="391"/>
      <c r="CM129" s="391"/>
      <c r="CN129" s="570"/>
      <c r="CO129" s="570"/>
      <c r="CP129" s="391"/>
      <c r="CQ129" s="570"/>
      <c r="CR129" s="570"/>
      <c r="CS129" s="570"/>
      <c r="CT129" s="570"/>
      <c r="CU129" s="570"/>
      <c r="CV129" s="391"/>
      <c r="CW129" s="570"/>
      <c r="CX129" s="570"/>
      <c r="CY129" s="570"/>
      <c r="CZ129" s="570"/>
      <c r="DA129" s="570"/>
      <c r="DB129" s="391"/>
      <c r="DC129" s="765"/>
      <c r="DD129" s="684"/>
      <c r="DE129" s="672"/>
      <c r="DF129" s="738"/>
      <c r="DG129" s="739"/>
      <c r="DH129" s="685"/>
      <c r="DI129" s="685"/>
      <c r="DJ129" s="579"/>
      <c r="DK129" s="579"/>
      <c r="DL129" s="579"/>
      <c r="DM129" s="579"/>
      <c r="DN129" s="588"/>
      <c r="DO129" s="588"/>
      <c r="DP129" s="588"/>
      <c r="DQ129" s="51"/>
      <c r="DR129" s="696"/>
      <c r="DS129" s="696"/>
      <c r="DT129" s="696"/>
      <c r="DU129" s="324"/>
      <c r="DV129" s="570"/>
      <c r="DW129" s="570"/>
      <c r="DX129" s="570"/>
      <c r="EO129" s="570"/>
      <c r="EP129" s="570"/>
      <c r="EQ129" s="570"/>
      <c r="ER129" s="570"/>
      <c r="ES129" s="391"/>
      <c r="ET129" s="570"/>
      <c r="EU129" s="393"/>
      <c r="EV129" s="393"/>
      <c r="EW129" s="393"/>
      <c r="EX129" s="393"/>
      <c r="EY129" s="570"/>
      <c r="EZ129" s="570"/>
      <c r="FA129" s="324"/>
      <c r="FB129" s="324"/>
      <c r="FC129" s="684"/>
      <c r="FD129" s="765"/>
      <c r="FE129" s="738"/>
      <c r="FF129" s="739"/>
      <c r="FG129" s="685"/>
      <c r="FH129" s="685"/>
      <c r="FI129" s="685"/>
      <c r="FJ129" s="685"/>
      <c r="FK129" s="685"/>
      <c r="FL129" s="685"/>
      <c r="FM129" s="685"/>
      <c r="FN129" s="685"/>
      <c r="FO129" s="685"/>
      <c r="FP129" s="685"/>
      <c r="FQ129" s="579"/>
      <c r="FR129" s="579"/>
      <c r="FS129" s="579"/>
      <c r="FT129" s="579"/>
      <c r="FU129" s="579"/>
      <c r="FV129" s="579"/>
      <c r="FW129" s="579"/>
      <c r="FX129" s="579"/>
      <c r="FY129" s="588"/>
      <c r="FZ129" s="588"/>
      <c r="GA129" s="588"/>
      <c r="GB129" s="51"/>
      <c r="GC129" s="696"/>
      <c r="GD129" s="696"/>
      <c r="GE129" s="696"/>
      <c r="GF129" s="324"/>
      <c r="GG129" s="324"/>
      <c r="GH129" s="324"/>
      <c r="GI129" s="324"/>
      <c r="GJ129" s="71"/>
      <c r="GK129" s="71"/>
      <c r="GL129" s="324"/>
      <c r="GM129" s="324"/>
      <c r="GN129" s="324"/>
      <c r="GO129" s="324"/>
      <c r="GP129" s="324"/>
      <c r="GQ129" s="324"/>
      <c r="GR129" s="324"/>
      <c r="GS129" s="324"/>
      <c r="GT129" s="324"/>
      <c r="HG129" s="325"/>
      <c r="HH129" s="325"/>
      <c r="HI129" s="325"/>
      <c r="HJ129" s="684"/>
      <c r="HK129" s="684"/>
      <c r="HL129" s="684"/>
    </row>
    <row r="130" spans="1:220" ht="15.75" customHeight="1">
      <c r="A130" s="324"/>
      <c r="B130" s="672"/>
      <c r="C130" s="765"/>
      <c r="D130" s="890"/>
      <c r="E130" s="742"/>
      <c r="F130" s="742"/>
      <c r="G130" s="739"/>
      <c r="H130" s="739"/>
      <c r="I130" s="740"/>
      <c r="J130" s="687"/>
      <c r="K130" s="687"/>
      <c r="L130" s="687"/>
      <c r="M130" s="687"/>
      <c r="N130" s="588"/>
      <c r="O130" s="588"/>
      <c r="P130" s="324"/>
      <c r="Q130" s="760"/>
      <c r="R130" s="760"/>
      <c r="S130" s="324"/>
      <c r="T130" s="765"/>
      <c r="U130" s="684"/>
      <c r="V130" s="672"/>
      <c r="W130" s="738"/>
      <c r="X130" s="739"/>
      <c r="Y130" s="685"/>
      <c r="Z130" s="685"/>
      <c r="AA130" s="579"/>
      <c r="AB130" s="579"/>
      <c r="AC130" s="579"/>
      <c r="AD130" s="579"/>
      <c r="AE130" s="588"/>
      <c r="AF130" s="588"/>
      <c r="AG130" s="588"/>
      <c r="AH130" s="324"/>
      <c r="AI130" s="696"/>
      <c r="AJ130" s="696"/>
      <c r="AK130" s="696"/>
      <c r="AL130" s="324"/>
      <c r="AM130" s="570"/>
      <c r="AN130" s="589"/>
      <c r="AO130" s="391"/>
      <c r="AP130" s="391"/>
      <c r="AQ130" s="391"/>
      <c r="AS130" s="579"/>
      <c r="AT130" s="579"/>
      <c r="AU130" s="579"/>
      <c r="AV130" s="579"/>
      <c r="AW130" s="588"/>
      <c r="AX130" s="391"/>
      <c r="AY130" s="589"/>
      <c r="AZ130" s="391"/>
      <c r="BA130" s="327"/>
      <c r="BB130" s="327"/>
      <c r="BC130" s="327"/>
      <c r="BD130" s="327"/>
      <c r="BE130" s="593"/>
      <c r="BF130" s="327"/>
      <c r="BG130" s="327"/>
      <c r="BH130" s="327"/>
      <c r="BI130" s="327"/>
      <c r="BK130" s="391"/>
      <c r="BM130" s="393"/>
      <c r="BN130" s="393"/>
      <c r="BO130" s="393"/>
      <c r="BP130" s="393"/>
      <c r="BQ130" s="593"/>
      <c r="BR130" s="593"/>
      <c r="BS130" s="593"/>
      <c r="BT130" s="393"/>
      <c r="BU130" s="393"/>
      <c r="BV130" s="393"/>
      <c r="BW130" s="393"/>
      <c r="BX130" s="391"/>
      <c r="BY130" s="391"/>
      <c r="BZ130" s="391"/>
      <c r="CA130" s="738"/>
      <c r="CB130" s="739"/>
      <c r="CC130" s="685"/>
      <c r="CD130" s="685"/>
      <c r="CE130" s="579"/>
      <c r="CF130" s="579"/>
      <c r="CG130" s="579"/>
      <c r="CH130" s="579"/>
      <c r="CI130" s="588"/>
      <c r="CJ130" s="588"/>
      <c r="CK130" s="588"/>
      <c r="CL130" s="391"/>
      <c r="CM130" s="391"/>
      <c r="CN130" s="570"/>
      <c r="CO130" s="570"/>
      <c r="CP130" s="391"/>
      <c r="CQ130" s="570"/>
      <c r="CR130" s="570"/>
      <c r="CS130" s="570"/>
      <c r="CT130" s="570"/>
      <c r="CU130" s="570"/>
      <c r="CV130" s="391"/>
      <c r="CW130" s="570"/>
      <c r="CX130" s="570"/>
      <c r="CY130" s="570"/>
      <c r="CZ130" s="570"/>
      <c r="DA130" s="570"/>
      <c r="DB130" s="391"/>
      <c r="DC130" s="765"/>
      <c r="DD130" s="684"/>
      <c r="DE130" s="672"/>
      <c r="DF130" s="738"/>
      <c r="DG130" s="739"/>
      <c r="DH130" s="685"/>
      <c r="DI130" s="685"/>
      <c r="DJ130" s="579"/>
      <c r="DK130" s="579"/>
      <c r="DL130" s="579"/>
      <c r="DM130" s="579"/>
      <c r="DN130" s="588"/>
      <c r="DO130" s="588"/>
      <c r="DP130" s="588"/>
      <c r="DQ130" s="324"/>
      <c r="DR130" s="696"/>
      <c r="DS130" s="696"/>
      <c r="DT130" s="696"/>
      <c r="DU130" s="324"/>
      <c r="DV130" s="570"/>
      <c r="DW130" s="570"/>
      <c r="DX130" s="570"/>
      <c r="EO130" s="570"/>
      <c r="EP130" s="570"/>
      <c r="EQ130" s="570"/>
      <c r="ER130" s="570"/>
      <c r="ES130" s="391"/>
      <c r="ET130" s="570"/>
      <c r="EU130" s="393"/>
      <c r="EV130" s="393"/>
      <c r="EW130" s="393"/>
      <c r="EX130" s="393"/>
      <c r="EY130" s="570"/>
      <c r="EZ130" s="570"/>
      <c r="FA130" s="324"/>
      <c r="FB130" s="324"/>
      <c r="FC130" s="684"/>
      <c r="FD130" s="765"/>
      <c r="FE130" s="738"/>
      <c r="FF130" s="739"/>
      <c r="FG130" s="685"/>
      <c r="FH130" s="685"/>
      <c r="FI130" s="685"/>
      <c r="FJ130" s="685"/>
      <c r="FK130" s="685"/>
      <c r="FL130" s="685"/>
      <c r="FM130" s="685"/>
      <c r="FN130" s="685"/>
      <c r="FO130" s="685"/>
      <c r="FP130" s="685"/>
      <c r="FQ130" s="579"/>
      <c r="FR130" s="579"/>
      <c r="FS130" s="579"/>
      <c r="FT130" s="579"/>
      <c r="FU130" s="579"/>
      <c r="FV130" s="579"/>
      <c r="FW130" s="579"/>
      <c r="FX130" s="579"/>
      <c r="FY130" s="588"/>
      <c r="FZ130" s="588"/>
      <c r="GA130" s="588"/>
      <c r="GB130" s="324"/>
      <c r="GC130" s="696"/>
      <c r="GD130" s="696"/>
      <c r="GE130" s="696"/>
      <c r="GF130" s="324"/>
      <c r="GG130" s="324"/>
      <c r="GH130" s="324"/>
      <c r="GI130" s="324"/>
      <c r="GJ130" s="71"/>
      <c r="GK130" s="71"/>
      <c r="GL130" s="324"/>
      <c r="GM130" s="324"/>
      <c r="GN130" s="324"/>
      <c r="GO130" s="324"/>
      <c r="GP130" s="324"/>
      <c r="GQ130" s="324"/>
      <c r="GR130" s="324"/>
      <c r="GS130" s="324"/>
      <c r="GT130" s="324"/>
      <c r="HG130" s="325"/>
      <c r="HH130" s="325"/>
      <c r="HI130" s="325"/>
      <c r="HJ130" s="684"/>
      <c r="HK130" s="684"/>
      <c r="HL130" s="684"/>
    </row>
    <row r="131" spans="1:220" ht="15.75">
      <c r="A131" s="324"/>
      <c r="B131" s="672"/>
      <c r="C131" s="765"/>
      <c r="D131" s="890"/>
      <c r="E131" s="742"/>
      <c r="F131" s="742"/>
      <c r="G131" s="739"/>
      <c r="H131" s="739"/>
      <c r="I131" s="740"/>
      <c r="J131" s="680"/>
      <c r="K131" s="680"/>
      <c r="L131" s="680"/>
      <c r="M131" s="680"/>
      <c r="N131" s="588"/>
      <c r="O131" s="588"/>
      <c r="P131" s="324"/>
      <c r="Q131" s="760"/>
      <c r="R131" s="760"/>
      <c r="S131" s="324"/>
      <c r="T131" s="765"/>
      <c r="U131" s="684"/>
      <c r="V131" s="672"/>
      <c r="W131" s="738"/>
      <c r="X131" s="739"/>
      <c r="Y131" s="685"/>
      <c r="Z131" s="685"/>
      <c r="AA131" s="579"/>
      <c r="AB131" s="579"/>
      <c r="AC131" s="579"/>
      <c r="AD131" s="579"/>
      <c r="AE131" s="588"/>
      <c r="AF131" s="588"/>
      <c r="AG131" s="588"/>
      <c r="AH131" s="51"/>
      <c r="AI131" s="698"/>
      <c r="AJ131" s="698"/>
      <c r="AK131" s="698"/>
      <c r="AL131" s="324"/>
      <c r="AM131" s="570"/>
      <c r="AN131" s="589"/>
      <c r="AO131" s="391"/>
      <c r="AP131" s="391"/>
      <c r="AQ131" s="391"/>
      <c r="AS131" s="579"/>
      <c r="AT131" s="579"/>
      <c r="AU131" s="579"/>
      <c r="AV131" s="579"/>
      <c r="AW131" s="588"/>
      <c r="AX131" s="391"/>
      <c r="AY131" s="589"/>
      <c r="AZ131" s="391"/>
      <c r="BA131" s="327"/>
      <c r="BB131" s="327"/>
      <c r="BC131" s="327"/>
      <c r="BD131" s="327"/>
      <c r="BE131" s="593"/>
      <c r="BF131" s="327"/>
      <c r="BG131" s="327"/>
      <c r="BH131" s="327"/>
      <c r="BI131" s="327"/>
      <c r="BK131" s="391"/>
      <c r="BM131" s="393"/>
      <c r="BN131" s="393"/>
      <c r="BO131" s="393"/>
      <c r="BP131" s="393"/>
      <c r="BQ131" s="593"/>
      <c r="BR131" s="593"/>
      <c r="BS131" s="593"/>
      <c r="BT131" s="393"/>
      <c r="BU131" s="393"/>
      <c r="BV131" s="393"/>
      <c r="BW131" s="393"/>
      <c r="BX131" s="391"/>
      <c r="BY131" s="391"/>
      <c r="BZ131" s="391"/>
      <c r="CA131" s="738"/>
      <c r="CB131" s="739"/>
      <c r="CC131" s="685"/>
      <c r="CD131" s="685"/>
      <c r="CE131" s="579"/>
      <c r="CF131" s="579"/>
      <c r="CG131" s="579"/>
      <c r="CH131" s="579"/>
      <c r="CI131" s="588"/>
      <c r="CJ131" s="588"/>
      <c r="CK131" s="588"/>
      <c r="CL131" s="391"/>
      <c r="CM131" s="391"/>
      <c r="CN131" s="570"/>
      <c r="CO131" s="570"/>
      <c r="CP131" s="391"/>
      <c r="CQ131" s="570"/>
      <c r="CR131" s="570"/>
      <c r="CS131" s="570"/>
      <c r="CT131" s="570"/>
      <c r="CU131" s="570"/>
      <c r="CV131" s="391"/>
      <c r="CW131" s="570"/>
      <c r="CX131" s="570"/>
      <c r="CY131" s="570"/>
      <c r="CZ131" s="570"/>
      <c r="DA131" s="570"/>
      <c r="DB131" s="391"/>
      <c r="DC131" s="765"/>
      <c r="DD131" s="684"/>
      <c r="DE131" s="672"/>
      <c r="DF131" s="738"/>
      <c r="DG131" s="739"/>
      <c r="DH131" s="685"/>
      <c r="DI131" s="685"/>
      <c r="DJ131" s="579"/>
      <c r="DK131" s="579"/>
      <c r="DL131" s="579"/>
      <c r="DM131" s="579"/>
      <c r="DN131" s="588"/>
      <c r="DO131" s="588"/>
      <c r="DP131" s="588"/>
      <c r="DQ131" s="51"/>
      <c r="DR131" s="698"/>
      <c r="DS131" s="698"/>
      <c r="DT131" s="698"/>
      <c r="DU131" s="324"/>
      <c r="DV131" s="570"/>
      <c r="DW131" s="570"/>
      <c r="DX131" s="570"/>
      <c r="EO131" s="570"/>
      <c r="EP131" s="570"/>
      <c r="EQ131" s="570"/>
      <c r="ER131" s="570"/>
      <c r="ES131" s="391"/>
      <c r="ET131" s="570"/>
      <c r="EU131" s="393"/>
      <c r="EV131" s="393"/>
      <c r="EW131" s="393"/>
      <c r="EX131" s="393"/>
      <c r="EY131" s="570"/>
      <c r="EZ131" s="570"/>
      <c r="FA131" s="324"/>
      <c r="FB131" s="324"/>
      <c r="FC131" s="684"/>
      <c r="FD131" s="765"/>
      <c r="FE131" s="738"/>
      <c r="FF131" s="739"/>
      <c r="FG131" s="685"/>
      <c r="FH131" s="685"/>
      <c r="FI131" s="685"/>
      <c r="FJ131" s="685"/>
      <c r="FK131" s="685"/>
      <c r="FL131" s="685"/>
      <c r="FM131" s="685"/>
      <c r="FN131" s="685"/>
      <c r="FO131" s="685"/>
      <c r="FP131" s="685"/>
      <c r="FQ131" s="579"/>
      <c r="FR131" s="579"/>
      <c r="FS131" s="579"/>
      <c r="FT131" s="579"/>
      <c r="FU131" s="579"/>
      <c r="FV131" s="579"/>
      <c r="FW131" s="579"/>
      <c r="FX131" s="579"/>
      <c r="FY131" s="588"/>
      <c r="FZ131" s="588"/>
      <c r="GA131" s="588"/>
      <c r="GB131" s="51"/>
      <c r="GC131" s="698"/>
      <c r="GD131" s="698"/>
      <c r="GE131" s="698"/>
      <c r="GF131" s="324"/>
      <c r="GG131" s="324"/>
      <c r="GH131" s="324"/>
      <c r="GI131" s="324"/>
      <c r="GJ131" s="71"/>
      <c r="GK131" s="71"/>
      <c r="GL131" s="324"/>
      <c r="GM131" s="324"/>
      <c r="GN131" s="324"/>
      <c r="GO131" s="324"/>
      <c r="GP131" s="324"/>
      <c r="GQ131" s="324"/>
      <c r="GR131" s="324"/>
      <c r="GS131" s="324"/>
      <c r="GT131" s="324"/>
      <c r="HG131" s="325"/>
      <c r="HH131" s="325"/>
      <c r="HI131" s="325"/>
      <c r="HJ131" s="684"/>
      <c r="HK131" s="684"/>
      <c r="HL131" s="684"/>
    </row>
    <row r="132" spans="1:220" ht="15.75">
      <c r="A132" s="324"/>
      <c r="B132" s="674"/>
      <c r="C132" s="765"/>
      <c r="D132" s="752"/>
      <c r="E132" s="742"/>
      <c r="F132" s="742"/>
      <c r="G132" s="739"/>
      <c r="H132" s="739"/>
      <c r="I132" s="740"/>
      <c r="J132" s="680"/>
      <c r="K132" s="680"/>
      <c r="L132" s="680"/>
      <c r="M132" s="680"/>
      <c r="N132" s="588"/>
      <c r="O132" s="588"/>
      <c r="P132" s="324"/>
      <c r="Q132" s="760"/>
      <c r="R132" s="760"/>
      <c r="S132" s="324"/>
      <c r="T132" s="765"/>
      <c r="U132" s="684"/>
      <c r="V132" s="672"/>
      <c r="W132" s="738"/>
      <c r="X132" s="739"/>
      <c r="Y132" s="685"/>
      <c r="Z132" s="685"/>
      <c r="AA132" s="579"/>
      <c r="AB132" s="579"/>
      <c r="AC132" s="579"/>
      <c r="AD132" s="579"/>
      <c r="AE132" s="588"/>
      <c r="AF132" s="588"/>
      <c r="AG132" s="588"/>
      <c r="AH132" s="51"/>
      <c r="AI132" s="324"/>
      <c r="AJ132" s="324"/>
      <c r="AK132" s="324"/>
      <c r="AL132" s="324"/>
      <c r="AM132" s="570"/>
      <c r="AN132" s="589"/>
      <c r="AO132" s="391"/>
      <c r="AP132" s="391"/>
      <c r="AQ132" s="391"/>
      <c r="AS132" s="579"/>
      <c r="AT132" s="579"/>
      <c r="AU132" s="579"/>
      <c r="AV132" s="579"/>
      <c r="AW132" s="588"/>
      <c r="AX132" s="391"/>
      <c r="AY132" s="589"/>
      <c r="AZ132" s="391"/>
      <c r="BA132" s="327"/>
      <c r="BB132" s="327"/>
      <c r="BC132" s="327"/>
      <c r="BD132" s="327"/>
      <c r="BE132" s="593"/>
      <c r="BF132" s="327"/>
      <c r="BG132" s="327"/>
      <c r="BH132" s="327"/>
      <c r="BI132" s="327"/>
      <c r="BK132" s="391"/>
      <c r="BM132" s="393"/>
      <c r="BN132" s="393"/>
      <c r="BO132" s="393"/>
      <c r="BP132" s="393"/>
      <c r="BQ132" s="593"/>
      <c r="BR132" s="593"/>
      <c r="BS132" s="593"/>
      <c r="BT132" s="393"/>
      <c r="BU132" s="393"/>
      <c r="BV132" s="393"/>
      <c r="BW132" s="393"/>
      <c r="BX132" s="391"/>
      <c r="BY132" s="391"/>
      <c r="BZ132" s="391"/>
      <c r="CA132" s="738"/>
      <c r="CB132" s="739"/>
      <c r="CC132" s="685"/>
      <c r="CD132" s="685"/>
      <c r="CE132" s="579"/>
      <c r="CF132" s="579"/>
      <c r="CG132" s="579"/>
      <c r="CH132" s="579"/>
      <c r="CI132" s="588"/>
      <c r="CJ132" s="588"/>
      <c r="CK132" s="588"/>
      <c r="CL132" s="391"/>
      <c r="CM132" s="391"/>
      <c r="CN132" s="570"/>
      <c r="CO132" s="570"/>
      <c r="CP132" s="391"/>
      <c r="CQ132" s="570"/>
      <c r="CR132" s="570"/>
      <c r="CS132" s="570"/>
      <c r="CT132" s="570"/>
      <c r="CU132" s="570"/>
      <c r="CV132" s="391"/>
      <c r="CW132" s="570"/>
      <c r="CX132" s="570"/>
      <c r="CY132" s="570"/>
      <c r="CZ132" s="570"/>
      <c r="DA132" s="570"/>
      <c r="DB132" s="391"/>
      <c r="DC132" s="765"/>
      <c r="DD132" s="684"/>
      <c r="DE132" s="672"/>
      <c r="DF132" s="738"/>
      <c r="DG132" s="739"/>
      <c r="DH132" s="685"/>
      <c r="DI132" s="685"/>
      <c r="DJ132" s="579"/>
      <c r="DK132" s="579"/>
      <c r="DL132" s="579"/>
      <c r="DM132" s="579"/>
      <c r="DN132" s="588"/>
      <c r="DO132" s="588"/>
      <c r="DP132" s="588"/>
      <c r="DQ132" s="51"/>
      <c r="DR132" s="324"/>
      <c r="DS132" s="324"/>
      <c r="DT132" s="324"/>
      <c r="DU132" s="324"/>
      <c r="DV132" s="570"/>
      <c r="DW132" s="570"/>
      <c r="DX132" s="570"/>
      <c r="EO132" s="570"/>
      <c r="EP132" s="570"/>
      <c r="EQ132" s="570"/>
      <c r="ER132" s="570"/>
      <c r="ES132" s="391"/>
      <c r="ET132" s="570"/>
      <c r="EU132" s="393"/>
      <c r="EV132" s="393"/>
      <c r="EW132" s="393"/>
      <c r="EX132" s="393"/>
      <c r="EY132" s="570"/>
      <c r="EZ132" s="570"/>
      <c r="FA132" s="324"/>
      <c r="FB132" s="324"/>
      <c r="FC132" s="684"/>
      <c r="FD132" s="765"/>
      <c r="FE132" s="738"/>
      <c r="FF132" s="739"/>
      <c r="FG132" s="685"/>
      <c r="FH132" s="685"/>
      <c r="FI132" s="685"/>
      <c r="FJ132" s="685"/>
      <c r="FK132" s="685"/>
      <c r="FL132" s="685"/>
      <c r="FM132" s="685"/>
      <c r="FN132" s="685"/>
      <c r="FO132" s="685"/>
      <c r="FP132" s="685"/>
      <c r="FQ132" s="579"/>
      <c r="FR132" s="579"/>
      <c r="FS132" s="579"/>
      <c r="FT132" s="579"/>
      <c r="FU132" s="579"/>
      <c r="FV132" s="579"/>
      <c r="FW132" s="579"/>
      <c r="FX132" s="579"/>
      <c r="FY132" s="588"/>
      <c r="FZ132" s="588"/>
      <c r="GA132" s="588"/>
      <c r="GB132" s="51"/>
      <c r="GC132" s="324"/>
      <c r="GD132" s="324"/>
      <c r="GE132" s="324"/>
      <c r="GF132" s="324"/>
      <c r="GG132" s="324"/>
      <c r="GH132" s="324"/>
      <c r="GI132" s="324"/>
      <c r="GJ132" s="71"/>
      <c r="GK132" s="71"/>
      <c r="GL132" s="324"/>
      <c r="GM132" s="324"/>
      <c r="GN132" s="324"/>
      <c r="GO132" s="324"/>
      <c r="GP132" s="324"/>
      <c r="GQ132" s="324"/>
      <c r="GR132" s="324"/>
      <c r="GS132" s="324"/>
      <c r="GT132" s="324"/>
      <c r="HG132" s="325"/>
      <c r="HH132" s="325"/>
      <c r="HI132" s="325"/>
      <c r="HJ132" s="684"/>
      <c r="HK132" s="684"/>
      <c r="HL132" s="684"/>
    </row>
    <row r="133" spans="1:220" ht="15">
      <c r="A133" s="324"/>
      <c r="B133" s="672"/>
      <c r="C133" s="766"/>
      <c r="D133" s="752"/>
      <c r="E133" s="742"/>
      <c r="F133" s="742"/>
      <c r="G133" s="739"/>
      <c r="H133" s="740"/>
      <c r="I133" s="740"/>
      <c r="J133" s="680"/>
      <c r="K133" s="680"/>
      <c r="L133" s="680"/>
      <c r="M133" s="680"/>
      <c r="N133" s="588"/>
      <c r="O133" s="588"/>
      <c r="P133" s="324"/>
      <c r="Q133" s="324"/>
      <c r="R133" s="324"/>
      <c r="S133" s="324"/>
      <c r="T133" s="766"/>
      <c r="U133" s="684"/>
      <c r="V133" s="672"/>
      <c r="W133" s="738"/>
      <c r="X133" s="739"/>
      <c r="Y133" s="685"/>
      <c r="Z133" s="685"/>
      <c r="AA133" s="579"/>
      <c r="AB133" s="579"/>
      <c r="AC133" s="579"/>
      <c r="AD133" s="579"/>
      <c r="AE133" s="588"/>
      <c r="AF133" s="588"/>
      <c r="AG133" s="588"/>
      <c r="AH133" s="51"/>
      <c r="AI133" s="774"/>
      <c r="AJ133" s="774"/>
      <c r="AK133" s="774"/>
      <c r="AL133" s="774"/>
      <c r="AM133" s="570"/>
      <c r="AN133" s="589"/>
      <c r="AO133" s="391"/>
      <c r="AP133" s="391"/>
      <c r="AQ133" s="391"/>
      <c r="AS133" s="579"/>
      <c r="AT133" s="579"/>
      <c r="AU133" s="579"/>
      <c r="AV133" s="579"/>
      <c r="AW133" s="588"/>
      <c r="AX133" s="391"/>
      <c r="AY133" s="589"/>
      <c r="AZ133" s="391"/>
      <c r="BA133" s="288"/>
      <c r="BB133" s="288"/>
      <c r="BC133" s="288"/>
      <c r="BD133" s="288"/>
      <c r="BE133" s="288"/>
      <c r="BF133" s="594"/>
      <c r="BG133" s="594"/>
      <c r="BH133" s="594"/>
      <c r="BI133" s="594"/>
      <c r="BK133" s="391"/>
      <c r="BM133" s="391"/>
      <c r="BN133" s="391"/>
      <c r="BO133" s="391"/>
      <c r="BP133" s="391"/>
      <c r="BQ133" s="391"/>
      <c r="BR133" s="391"/>
      <c r="BS133" s="391"/>
      <c r="BT133" s="391"/>
      <c r="BU133" s="391"/>
      <c r="BV133" s="570"/>
      <c r="BW133" s="570"/>
      <c r="BX133" s="570"/>
      <c r="BY133" s="570"/>
      <c r="BZ133" s="570"/>
      <c r="CA133" s="738"/>
      <c r="CB133" s="739"/>
      <c r="CC133" s="685"/>
      <c r="CD133" s="685"/>
      <c r="CE133" s="579"/>
      <c r="CF133" s="579"/>
      <c r="CG133" s="579"/>
      <c r="CH133" s="579"/>
      <c r="CI133" s="588"/>
      <c r="CJ133" s="588"/>
      <c r="CK133" s="588"/>
      <c r="CL133" s="570"/>
      <c r="CM133" s="570"/>
      <c r="CN133" s="570"/>
      <c r="CO133" s="570"/>
      <c r="CP133" s="391"/>
      <c r="CQ133" s="570"/>
      <c r="CR133" s="570"/>
      <c r="CS133" s="570"/>
      <c r="CT133" s="570"/>
      <c r="CU133" s="570"/>
      <c r="CV133" s="391"/>
      <c r="CW133" s="570"/>
      <c r="CX133" s="570"/>
      <c r="CY133" s="570"/>
      <c r="CZ133" s="570"/>
      <c r="DA133" s="570"/>
      <c r="DB133" s="391"/>
      <c r="DC133" s="766"/>
      <c r="DD133" s="684"/>
      <c r="DE133" s="672"/>
      <c r="DF133" s="738"/>
      <c r="DG133" s="739"/>
      <c r="DH133" s="685"/>
      <c r="DI133" s="685"/>
      <c r="DJ133" s="579"/>
      <c r="DK133" s="579"/>
      <c r="DL133" s="579"/>
      <c r="DM133" s="579"/>
      <c r="DN133" s="588"/>
      <c r="DO133" s="588"/>
      <c r="DP133" s="588"/>
      <c r="DQ133" s="51"/>
      <c r="DR133" s="774"/>
      <c r="DS133" s="774"/>
      <c r="DT133" s="774"/>
      <c r="DU133" s="774"/>
      <c r="DV133" s="570"/>
      <c r="DW133" s="570"/>
      <c r="DX133" s="570"/>
      <c r="EO133" s="570"/>
      <c r="EP133" s="570"/>
      <c r="EQ133" s="570"/>
      <c r="ER133" s="570"/>
      <c r="ES133" s="391"/>
      <c r="ET133" s="570"/>
      <c r="EU133" s="393"/>
      <c r="EV133" s="393"/>
      <c r="EW133" s="393"/>
      <c r="EX133" s="393"/>
      <c r="EY133" s="570"/>
      <c r="EZ133" s="570"/>
      <c r="FA133" s="324"/>
      <c r="FB133" s="324"/>
      <c r="FC133" s="684"/>
      <c r="FD133" s="766"/>
      <c r="FE133" s="738"/>
      <c r="FF133" s="739"/>
      <c r="FG133" s="685"/>
      <c r="FH133" s="685"/>
      <c r="FI133" s="685"/>
      <c r="FJ133" s="685"/>
      <c r="FK133" s="685"/>
      <c r="FL133" s="685"/>
      <c r="FM133" s="685"/>
      <c r="FN133" s="685"/>
      <c r="FO133" s="685"/>
      <c r="FP133" s="685"/>
      <c r="FQ133" s="579"/>
      <c r="FR133" s="579"/>
      <c r="FS133" s="579"/>
      <c r="FT133" s="579"/>
      <c r="FU133" s="579"/>
      <c r="FV133" s="579"/>
      <c r="FW133" s="579"/>
      <c r="FX133" s="579"/>
      <c r="FY133" s="588"/>
      <c r="FZ133" s="588"/>
      <c r="GA133" s="588"/>
      <c r="GB133" s="51"/>
      <c r="GC133" s="774"/>
      <c r="GD133" s="774"/>
      <c r="GE133" s="774"/>
      <c r="GF133" s="774"/>
      <c r="GG133" s="324"/>
      <c r="GH133" s="324"/>
      <c r="GI133" s="324"/>
      <c r="GJ133" s="71"/>
      <c r="GK133" s="71"/>
      <c r="GL133" s="324"/>
      <c r="GM133" s="324"/>
      <c r="GN133" s="324"/>
      <c r="GO133" s="324"/>
      <c r="GP133" s="324"/>
      <c r="GQ133" s="324"/>
      <c r="GR133" s="324"/>
      <c r="GS133" s="324"/>
      <c r="GT133" s="324"/>
      <c r="HG133" s="325"/>
      <c r="HH133" s="325"/>
      <c r="HI133" s="325"/>
      <c r="HJ133" s="684"/>
      <c r="HK133" s="684"/>
      <c r="HL133" s="684"/>
    </row>
    <row r="134" spans="1:220" ht="14.25" customHeight="1">
      <c r="A134" s="324"/>
      <c r="B134" s="672"/>
      <c r="C134" s="766"/>
      <c r="D134" s="752"/>
      <c r="E134" s="742"/>
      <c r="F134" s="742"/>
      <c r="G134" s="739"/>
      <c r="H134" s="740"/>
      <c r="I134" s="740"/>
      <c r="J134" s="680"/>
      <c r="K134" s="680"/>
      <c r="L134" s="680"/>
      <c r="M134" s="680"/>
      <c r="N134" s="588"/>
      <c r="O134" s="588"/>
      <c r="P134" s="324"/>
      <c r="Q134" s="324"/>
      <c r="R134" s="324"/>
      <c r="S134" s="324"/>
      <c r="T134" s="766"/>
      <c r="U134" s="684"/>
      <c r="V134" s="672"/>
      <c r="W134" s="738"/>
      <c r="X134" s="739"/>
      <c r="Y134" s="685"/>
      <c r="Z134" s="685"/>
      <c r="AA134" s="579"/>
      <c r="AB134" s="579"/>
      <c r="AC134" s="579"/>
      <c r="AD134" s="579"/>
      <c r="AE134" s="588"/>
      <c r="AF134" s="588"/>
      <c r="AG134" s="588"/>
      <c r="AH134" s="51"/>
      <c r="AI134" s="774"/>
      <c r="AJ134" s="774"/>
      <c r="AK134" s="774"/>
      <c r="AL134" s="774"/>
      <c r="AM134" s="570"/>
      <c r="AN134" s="589"/>
      <c r="AO134" s="391"/>
      <c r="AP134" s="391"/>
      <c r="AQ134" s="391"/>
      <c r="AS134" s="579"/>
      <c r="AT134" s="579"/>
      <c r="AU134" s="579"/>
      <c r="AV134" s="579"/>
      <c r="AW134" s="588"/>
      <c r="AX134" s="391"/>
      <c r="AY134" s="589"/>
      <c r="AZ134" s="391"/>
      <c r="BA134" s="288"/>
      <c r="BB134" s="288"/>
      <c r="BC134" s="288"/>
      <c r="BD134" s="288"/>
      <c r="BE134" s="288"/>
      <c r="BF134" s="594"/>
      <c r="BG134" s="594"/>
      <c r="BH134" s="594"/>
      <c r="BI134" s="594"/>
      <c r="BJ134" s="288"/>
      <c r="BK134" s="391"/>
      <c r="BM134" s="391"/>
      <c r="BN134" s="391"/>
      <c r="BO134" s="391"/>
      <c r="BP134" s="391"/>
      <c r="BQ134" s="391"/>
      <c r="BR134" s="391"/>
      <c r="BS134" s="391"/>
      <c r="BT134" s="391"/>
      <c r="BU134" s="391"/>
      <c r="BV134" s="391"/>
      <c r="BW134" s="391"/>
      <c r="BX134" s="391"/>
      <c r="BY134" s="391"/>
      <c r="BZ134" s="391"/>
      <c r="CA134" s="738"/>
      <c r="CB134" s="739"/>
      <c r="CC134" s="685"/>
      <c r="CD134" s="685"/>
      <c r="CE134" s="579"/>
      <c r="CF134" s="579"/>
      <c r="CG134" s="579"/>
      <c r="CH134" s="579"/>
      <c r="CI134" s="588"/>
      <c r="CJ134" s="588"/>
      <c r="CK134" s="588"/>
      <c r="CL134" s="570"/>
      <c r="CM134" s="570"/>
      <c r="CN134" s="570"/>
      <c r="CO134" s="570"/>
      <c r="CP134" s="391"/>
      <c r="CQ134" s="570"/>
      <c r="CR134" s="570"/>
      <c r="CS134" s="570"/>
      <c r="CT134" s="570"/>
      <c r="CU134" s="570"/>
      <c r="CV134" s="391"/>
      <c r="CW134" s="570"/>
      <c r="CX134" s="570"/>
      <c r="CY134" s="570"/>
      <c r="CZ134" s="570"/>
      <c r="DA134" s="570"/>
      <c r="DB134" s="391"/>
      <c r="DC134" s="766"/>
      <c r="DD134" s="684"/>
      <c r="DE134" s="672"/>
      <c r="DF134" s="738"/>
      <c r="DG134" s="739"/>
      <c r="DH134" s="685"/>
      <c r="DI134" s="685"/>
      <c r="DJ134" s="579"/>
      <c r="DK134" s="579"/>
      <c r="DL134" s="579"/>
      <c r="DM134" s="579"/>
      <c r="DN134" s="588"/>
      <c r="DO134" s="588"/>
      <c r="DP134" s="588"/>
      <c r="DQ134" s="51"/>
      <c r="DR134" s="774"/>
      <c r="DS134" s="774"/>
      <c r="DT134" s="774"/>
      <c r="DU134" s="774"/>
      <c r="DV134" s="570"/>
      <c r="DW134" s="570"/>
      <c r="DX134" s="570"/>
      <c r="EO134" s="570"/>
      <c r="EP134" s="570"/>
      <c r="EQ134" s="570"/>
      <c r="ER134" s="570"/>
      <c r="ES134" s="391"/>
      <c r="ET134" s="570"/>
      <c r="EU134" s="393"/>
      <c r="EV134" s="393"/>
      <c r="EW134" s="393"/>
      <c r="EX134" s="393"/>
      <c r="EY134" s="570"/>
      <c r="EZ134" s="570"/>
      <c r="FA134" s="324"/>
      <c r="FB134" s="324"/>
      <c r="FC134" s="684"/>
      <c r="FD134" s="766"/>
      <c r="FE134" s="738"/>
      <c r="FF134" s="739"/>
      <c r="FG134" s="685"/>
      <c r="FH134" s="685"/>
      <c r="FI134" s="685"/>
      <c r="FJ134" s="685"/>
      <c r="FK134" s="685"/>
      <c r="FL134" s="685"/>
      <c r="FM134" s="685"/>
      <c r="FN134" s="685"/>
      <c r="FO134" s="685"/>
      <c r="FP134" s="685"/>
      <c r="FQ134" s="579"/>
      <c r="FR134" s="579"/>
      <c r="FS134" s="579"/>
      <c r="FT134" s="579"/>
      <c r="FU134" s="579"/>
      <c r="FV134" s="579"/>
      <c r="FW134" s="579"/>
      <c r="FX134" s="579"/>
      <c r="FY134" s="588"/>
      <c r="FZ134" s="588"/>
      <c r="GA134" s="588"/>
      <c r="GB134" s="51"/>
      <c r="GC134" s="774"/>
      <c r="GD134" s="774"/>
      <c r="GE134" s="774"/>
      <c r="GF134" s="774"/>
      <c r="GG134" s="324"/>
      <c r="GH134" s="324"/>
      <c r="GI134" s="324"/>
      <c r="GJ134" s="71"/>
      <c r="GK134" s="71"/>
      <c r="GL134" s="324"/>
      <c r="GM134" s="324"/>
      <c r="GN134" s="324"/>
      <c r="GO134" s="324"/>
      <c r="GP134" s="324"/>
      <c r="GQ134" s="324"/>
      <c r="GR134" s="324"/>
      <c r="GS134" s="324"/>
      <c r="GT134" s="324"/>
      <c r="HG134" s="325"/>
      <c r="HH134" s="325"/>
      <c r="HI134" s="325"/>
      <c r="HJ134" s="684"/>
      <c r="HK134" s="684"/>
      <c r="HL134" s="684"/>
    </row>
    <row r="135" spans="1:220" ht="15">
      <c r="A135" s="324"/>
      <c r="B135" s="674"/>
      <c r="C135" s="700"/>
      <c r="D135" s="752"/>
      <c r="E135" s="738"/>
      <c r="F135" s="738"/>
      <c r="G135" s="739"/>
      <c r="H135" s="739"/>
      <c r="I135" s="740"/>
      <c r="J135" s="680"/>
      <c r="K135" s="680"/>
      <c r="L135" s="680"/>
      <c r="M135" s="680"/>
      <c r="N135" s="588"/>
      <c r="O135" s="588"/>
      <c r="P135" s="324"/>
      <c r="Q135" s="324"/>
      <c r="R135" s="324"/>
      <c r="S135" s="324"/>
      <c r="T135" s="700"/>
      <c r="U135" s="684"/>
      <c r="V135" s="672"/>
      <c r="W135" s="738"/>
      <c r="X135" s="739"/>
      <c r="Y135" s="685"/>
      <c r="Z135" s="685"/>
      <c r="AA135" s="579"/>
      <c r="AB135" s="579"/>
      <c r="AC135" s="579"/>
      <c r="AD135" s="579"/>
      <c r="AE135" s="588"/>
      <c r="AF135" s="588"/>
      <c r="AG135" s="588"/>
      <c r="AH135" s="51"/>
      <c r="AI135" s="774"/>
      <c r="AJ135" s="774"/>
      <c r="AK135" s="774"/>
      <c r="AL135" s="774"/>
      <c r="AM135" s="570"/>
      <c r="AN135" s="589"/>
      <c r="AO135" s="391"/>
      <c r="AP135" s="391"/>
      <c r="AQ135" s="391"/>
      <c r="AS135" s="579"/>
      <c r="AT135" s="579"/>
      <c r="AU135" s="579"/>
      <c r="AV135" s="579"/>
      <c r="AW135" s="588"/>
      <c r="AX135" s="391"/>
      <c r="AY135" s="589"/>
      <c r="AZ135" s="391"/>
      <c r="BA135" s="288"/>
      <c r="BB135" s="288"/>
      <c r="BC135" s="288"/>
      <c r="BD135" s="288"/>
      <c r="BE135" s="288"/>
      <c r="BF135" s="594"/>
      <c r="BG135" s="594"/>
      <c r="BH135" s="594"/>
      <c r="BI135" s="594"/>
      <c r="BJ135" s="288"/>
      <c r="BK135" s="391"/>
      <c r="BM135" s="391"/>
      <c r="BN135" s="391"/>
      <c r="BO135" s="391"/>
      <c r="BP135" s="391"/>
      <c r="BQ135" s="391"/>
      <c r="BR135" s="391"/>
      <c r="BS135" s="391"/>
      <c r="BT135" s="391"/>
      <c r="BU135" s="391"/>
      <c r="BV135" s="391"/>
      <c r="BW135" s="391"/>
      <c r="BX135" s="391"/>
      <c r="BY135" s="391"/>
      <c r="BZ135" s="391"/>
      <c r="CA135" s="738"/>
      <c r="CB135" s="739"/>
      <c r="CC135" s="685"/>
      <c r="CD135" s="685"/>
      <c r="CE135" s="579"/>
      <c r="CF135" s="579"/>
      <c r="CG135" s="579"/>
      <c r="CH135" s="579"/>
      <c r="CI135" s="588"/>
      <c r="CJ135" s="588"/>
      <c r="CK135" s="588"/>
      <c r="CL135" s="570"/>
      <c r="CM135" s="570"/>
      <c r="CN135" s="570"/>
      <c r="CO135" s="570"/>
      <c r="CP135" s="391"/>
      <c r="CQ135" s="570"/>
      <c r="CR135" s="570"/>
      <c r="CS135" s="570"/>
      <c r="CT135" s="570"/>
      <c r="CU135" s="570"/>
      <c r="CV135" s="391"/>
      <c r="CW135" s="570"/>
      <c r="CX135" s="570"/>
      <c r="CY135" s="570"/>
      <c r="CZ135" s="570"/>
      <c r="DA135" s="570"/>
      <c r="DB135" s="391"/>
      <c r="DC135" s="700"/>
      <c r="DD135" s="684"/>
      <c r="DE135" s="672"/>
      <c r="DF135" s="738"/>
      <c r="DG135" s="739"/>
      <c r="DH135" s="685"/>
      <c r="DI135" s="685"/>
      <c r="DJ135" s="579"/>
      <c r="DK135" s="579"/>
      <c r="DL135" s="579"/>
      <c r="DM135" s="579"/>
      <c r="DN135" s="588"/>
      <c r="DO135" s="588"/>
      <c r="DP135" s="588"/>
      <c r="DQ135" s="51"/>
      <c r="DR135" s="774"/>
      <c r="DS135" s="774"/>
      <c r="DT135" s="774"/>
      <c r="DU135" s="774"/>
      <c r="DV135" s="570"/>
      <c r="DW135" s="570"/>
      <c r="DX135" s="570"/>
      <c r="EO135" s="570"/>
      <c r="EP135" s="570"/>
      <c r="EQ135" s="570"/>
      <c r="ER135" s="570"/>
      <c r="ES135" s="391"/>
      <c r="ET135" s="570"/>
      <c r="EU135" s="393"/>
      <c r="EV135" s="393"/>
      <c r="EW135" s="393"/>
      <c r="EX135" s="393"/>
      <c r="EY135" s="570"/>
      <c r="EZ135" s="570"/>
      <c r="FA135" s="324"/>
      <c r="FB135" s="700"/>
      <c r="FC135" s="684"/>
      <c r="FD135" s="672"/>
      <c r="FE135" s="738"/>
      <c r="FF135" s="739"/>
      <c r="FG135" s="685"/>
      <c r="FH135" s="685"/>
      <c r="FI135" s="685"/>
      <c r="FJ135" s="685"/>
      <c r="FK135" s="685"/>
      <c r="FL135" s="685"/>
      <c r="FM135" s="685"/>
      <c r="FN135" s="685"/>
      <c r="FO135" s="685"/>
      <c r="FP135" s="685"/>
      <c r="FQ135" s="579"/>
      <c r="FR135" s="579"/>
      <c r="FS135" s="579"/>
      <c r="FT135" s="579"/>
      <c r="FU135" s="579"/>
      <c r="FV135" s="579"/>
      <c r="FW135" s="579"/>
      <c r="FX135" s="579"/>
      <c r="FY135" s="588"/>
      <c r="FZ135" s="588"/>
      <c r="GA135" s="588"/>
      <c r="GB135" s="51"/>
      <c r="GC135" s="774"/>
      <c r="GD135" s="774"/>
      <c r="GE135" s="774"/>
      <c r="GF135" s="774"/>
      <c r="GG135" s="324"/>
      <c r="GH135" s="324"/>
      <c r="GI135" s="324"/>
      <c r="GJ135" s="71"/>
      <c r="GK135" s="71"/>
      <c r="GL135" s="324"/>
      <c r="GM135" s="324"/>
      <c r="GN135" s="324"/>
      <c r="GO135" s="324"/>
      <c r="GP135" s="324"/>
      <c r="GQ135" s="324"/>
      <c r="GR135" s="324"/>
      <c r="GS135" s="324"/>
      <c r="GT135" s="324"/>
      <c r="HG135" s="797"/>
      <c r="HH135" s="797"/>
      <c r="HI135" s="797"/>
      <c r="HJ135" s="684"/>
      <c r="HK135" s="684"/>
      <c r="HL135" s="684"/>
    </row>
    <row r="136" spans="1:220" ht="14.25" customHeight="1">
      <c r="A136" s="324"/>
      <c r="B136" s="775"/>
      <c r="C136" s="775"/>
      <c r="D136" s="893"/>
      <c r="E136" s="782"/>
      <c r="F136" s="776"/>
      <c r="G136" s="739"/>
      <c r="H136" s="777"/>
      <c r="I136" s="777"/>
      <c r="J136" s="778"/>
      <c r="K136" s="778"/>
      <c r="L136" s="779"/>
      <c r="M136" s="779"/>
      <c r="N136" s="780"/>
      <c r="O136" s="781"/>
      <c r="P136" s="324"/>
      <c r="Q136" s="324"/>
      <c r="R136" s="324"/>
      <c r="S136" s="324"/>
      <c r="T136" s="756"/>
      <c r="U136" s="684"/>
      <c r="V136" s="672"/>
      <c r="W136" s="782"/>
      <c r="X136" s="783"/>
      <c r="Y136" s="685"/>
      <c r="Z136" s="685"/>
      <c r="AA136" s="784"/>
      <c r="AB136" s="784"/>
      <c r="AC136" s="784"/>
      <c r="AD136" s="784"/>
      <c r="AE136" s="781"/>
      <c r="AF136" s="781"/>
      <c r="AG136" s="781"/>
      <c r="AH136" s="51"/>
      <c r="AI136" s="774"/>
      <c r="AJ136" s="774"/>
      <c r="AK136" s="774"/>
      <c r="AL136" s="774"/>
      <c r="AM136" s="570"/>
      <c r="AN136" s="589"/>
      <c r="AO136" s="391"/>
      <c r="AP136" s="391"/>
      <c r="AQ136" s="391"/>
      <c r="AS136" s="579"/>
      <c r="AT136" s="579"/>
      <c r="AU136" s="579"/>
      <c r="AV136" s="579"/>
      <c r="AW136" s="588"/>
      <c r="AX136" s="391"/>
      <c r="AY136" s="589"/>
      <c r="AZ136" s="391"/>
      <c r="BA136" s="288"/>
      <c r="BB136" s="288"/>
      <c r="BC136" s="288"/>
      <c r="BD136" s="288"/>
      <c r="BE136" s="288"/>
      <c r="BF136" s="594"/>
      <c r="BG136" s="594"/>
      <c r="BH136" s="594"/>
      <c r="BI136" s="594"/>
      <c r="BJ136" s="288"/>
      <c r="BK136" s="391"/>
      <c r="BM136" s="391"/>
      <c r="BN136" s="391"/>
      <c r="BO136" s="391"/>
      <c r="BP136" s="391"/>
      <c r="BQ136" s="391"/>
      <c r="BR136" s="391"/>
      <c r="BS136" s="391"/>
      <c r="BT136" s="391"/>
      <c r="BU136" s="391"/>
      <c r="BV136" s="391"/>
      <c r="BW136" s="391"/>
      <c r="BX136" s="391"/>
      <c r="BY136" s="391"/>
      <c r="BZ136" s="391"/>
      <c r="CA136" s="391"/>
      <c r="CB136" s="570"/>
      <c r="CC136" s="570"/>
      <c r="CD136" s="570"/>
      <c r="CE136" s="570"/>
      <c r="CF136" s="570"/>
      <c r="CG136" s="570"/>
      <c r="CH136" s="570"/>
      <c r="CI136" s="570"/>
      <c r="CJ136" s="391"/>
      <c r="CK136" s="570"/>
      <c r="CL136" s="570"/>
      <c r="CM136" s="570"/>
      <c r="CN136" s="570"/>
      <c r="CO136" s="570"/>
      <c r="CP136" s="391"/>
      <c r="CQ136" s="570"/>
      <c r="CR136" s="570"/>
      <c r="CS136" s="570"/>
      <c r="CT136" s="570"/>
      <c r="CU136" s="570"/>
      <c r="CV136" s="391"/>
      <c r="CW136" s="570"/>
      <c r="CX136" s="570"/>
      <c r="CY136" s="570"/>
      <c r="CZ136" s="570"/>
      <c r="DA136" s="570"/>
      <c r="DB136" s="391"/>
      <c r="DC136" s="756"/>
      <c r="DD136" s="684"/>
      <c r="DE136" s="672"/>
      <c r="DF136" s="738"/>
      <c r="DG136" s="739"/>
      <c r="DH136" s="685"/>
      <c r="DI136" s="685"/>
      <c r="DJ136" s="579"/>
      <c r="DK136" s="579"/>
      <c r="DL136" s="579"/>
      <c r="DM136" s="579"/>
      <c r="DN136" s="588"/>
      <c r="DO136" s="588"/>
      <c r="DP136" s="588"/>
      <c r="DQ136" s="51"/>
      <c r="DR136" s="774"/>
      <c r="DS136" s="774"/>
      <c r="DT136" s="774"/>
      <c r="DU136" s="774"/>
      <c r="DV136" s="570"/>
      <c r="DW136" s="570"/>
      <c r="DX136" s="570"/>
      <c r="EO136" s="570"/>
      <c r="EP136" s="570"/>
      <c r="EQ136" s="570"/>
      <c r="ER136" s="570"/>
      <c r="ES136" s="391"/>
      <c r="ET136" s="570"/>
      <c r="EU136" s="255"/>
      <c r="EV136" s="255"/>
      <c r="EW136" s="255"/>
      <c r="EX136" s="255"/>
      <c r="EY136" s="570"/>
      <c r="EZ136" s="570"/>
      <c r="FA136" s="324"/>
      <c r="FB136" s="324"/>
      <c r="FC136" s="684"/>
      <c r="FD136" s="756"/>
      <c r="FE136" s="738"/>
      <c r="FF136" s="739"/>
      <c r="FG136" s="685"/>
      <c r="FH136" s="685"/>
      <c r="FI136" s="685"/>
      <c r="FJ136" s="685"/>
      <c r="FK136" s="685"/>
      <c r="FL136" s="685"/>
      <c r="FM136" s="685"/>
      <c r="FN136" s="685"/>
      <c r="FO136" s="685"/>
      <c r="FP136" s="685"/>
      <c r="FQ136" s="579"/>
      <c r="FR136" s="579"/>
      <c r="FS136" s="579"/>
      <c r="FT136" s="579"/>
      <c r="FU136" s="579"/>
      <c r="FV136" s="579"/>
      <c r="FW136" s="579"/>
      <c r="FX136" s="579"/>
      <c r="FY136" s="588"/>
      <c r="FZ136" s="588"/>
      <c r="GA136" s="588"/>
      <c r="GB136" s="51"/>
      <c r="GC136" s="774"/>
      <c r="GD136" s="774"/>
      <c r="GE136" s="774"/>
      <c r="GF136" s="774"/>
      <c r="GG136" s="324"/>
      <c r="GH136" s="324"/>
      <c r="GI136" s="324"/>
      <c r="GJ136" s="71"/>
      <c r="GK136" s="71"/>
      <c r="GL136" s="324"/>
      <c r="GM136" s="324"/>
      <c r="GN136" s="324"/>
      <c r="GO136" s="324"/>
      <c r="GP136" s="324"/>
      <c r="GQ136" s="324"/>
      <c r="GR136" s="324"/>
      <c r="GS136" s="324"/>
      <c r="GT136" s="324"/>
      <c r="HG136" s="325"/>
      <c r="HH136" s="325"/>
      <c r="HI136" s="325"/>
      <c r="HJ136" s="684"/>
      <c r="HK136" s="684"/>
      <c r="HL136" s="684"/>
    </row>
    <row r="137" spans="1:220" ht="6" customHeight="1">
      <c r="A137" s="324"/>
      <c r="B137" s="775"/>
      <c r="C137" s="775"/>
      <c r="D137" s="893"/>
      <c r="E137" s="782"/>
      <c r="F137" s="776"/>
      <c r="G137" s="739"/>
      <c r="H137" s="777"/>
      <c r="I137" s="777"/>
      <c r="J137" s="778"/>
      <c r="K137" s="778"/>
      <c r="L137" s="779"/>
      <c r="M137" s="779"/>
      <c r="N137" s="780"/>
      <c r="O137" s="781"/>
      <c r="P137" s="324"/>
      <c r="Q137" s="324"/>
      <c r="R137" s="324"/>
      <c r="S137" s="324"/>
      <c r="T137" s="756"/>
      <c r="U137" s="684"/>
      <c r="V137" s="672"/>
      <c r="W137" s="782"/>
      <c r="X137" s="783"/>
      <c r="Y137" s="685"/>
      <c r="Z137" s="685"/>
      <c r="AA137" s="784"/>
      <c r="AB137" s="784"/>
      <c r="AC137" s="784"/>
      <c r="AD137" s="784"/>
      <c r="AE137" s="781"/>
      <c r="AF137" s="781"/>
      <c r="AG137" s="781"/>
      <c r="AH137" s="51"/>
      <c r="AI137" s="774"/>
      <c r="AJ137" s="774"/>
      <c r="AK137" s="774"/>
      <c r="AL137" s="774"/>
      <c r="AM137" s="570"/>
      <c r="AN137" s="589"/>
      <c r="AO137" s="391"/>
      <c r="AP137" s="391"/>
      <c r="AQ137" s="391"/>
      <c r="AS137" s="579"/>
      <c r="AT137" s="579"/>
      <c r="AU137" s="579"/>
      <c r="AV137" s="579"/>
      <c r="AW137" s="588"/>
      <c r="AX137" s="391"/>
      <c r="AY137" s="589"/>
      <c r="AZ137" s="391"/>
      <c r="BA137" s="288"/>
      <c r="BB137" s="288"/>
      <c r="BC137" s="288"/>
      <c r="BD137" s="288"/>
      <c r="BE137" s="288"/>
      <c r="BF137" s="594"/>
      <c r="BG137" s="594"/>
      <c r="BH137" s="594"/>
      <c r="BI137" s="594"/>
      <c r="BM137" s="288">
        <f>IF(OR($BB$140=ADDRESS(ROW(BF137),COLUMN(BF137)),BF137=""),"",BF137)</f>
      </c>
      <c r="BN137" s="288">
        <f>IF(OR($BB$140=ADDRESS(ROW(BG137),COLUMN(BG137)),BG137=""),"",BG137)</f>
      </c>
      <c r="BO137" s="288">
        <f>IF(OR($BB$140=ADDRESS(ROW(BH137),COLUMN(BH137)),BH137=""),"",BH137)</f>
      </c>
      <c r="BP137" s="288">
        <f>IF(OR($BB$140=ADDRESS(ROW(BI137),COLUMN(BI137)),BI137=""),"",BI137)</f>
      </c>
      <c r="BQ137" s="288"/>
      <c r="BR137" s="288"/>
      <c r="BS137" s="288"/>
      <c r="BT137" s="391"/>
      <c r="BU137" s="288">
        <f>IF(OR($BB$141=ADDRESS(ROW(BM137),COLUMN(BM137)),BM137=""),"",BM137)</f>
      </c>
      <c r="BV137" s="288">
        <f>IF(OR($BB$141=ADDRESS(ROW(BN137),COLUMN(BN137)),BN137=""),"",BN137)</f>
      </c>
      <c r="BW137" s="288">
        <f>IF(OR($BB$141=ADDRESS(ROW(BO137),COLUMN(BO137)),BO137=""),"",BO137)</f>
      </c>
      <c r="BX137" s="391"/>
      <c r="BY137" s="391"/>
      <c r="BZ137" s="391"/>
      <c r="CA137" s="391"/>
      <c r="CB137" s="570"/>
      <c r="CC137" s="570"/>
      <c r="CD137" s="391"/>
      <c r="CE137" s="570"/>
      <c r="CF137" s="570"/>
      <c r="CG137" s="570"/>
      <c r="CH137" s="570"/>
      <c r="CI137" s="570"/>
      <c r="CJ137" s="391"/>
      <c r="CK137" s="570"/>
      <c r="CL137" s="570"/>
      <c r="CM137" s="570"/>
      <c r="CN137" s="570"/>
      <c r="CO137" s="570"/>
      <c r="CP137" s="391"/>
      <c r="CQ137" s="570"/>
      <c r="CR137" s="570"/>
      <c r="CS137" s="570"/>
      <c r="CT137" s="570"/>
      <c r="CU137" s="570"/>
      <c r="CV137" s="391"/>
      <c r="CW137" s="570"/>
      <c r="CX137" s="570"/>
      <c r="CY137" s="570"/>
      <c r="CZ137" s="570"/>
      <c r="DA137" s="570"/>
      <c r="DB137" s="391"/>
      <c r="DC137" s="756"/>
      <c r="DD137" s="684"/>
      <c r="DE137" s="672"/>
      <c r="DF137" s="738"/>
      <c r="DG137" s="739"/>
      <c r="DH137" s="685"/>
      <c r="DI137" s="685"/>
      <c r="DJ137" s="579"/>
      <c r="DK137" s="579"/>
      <c r="DL137" s="579"/>
      <c r="DM137" s="579"/>
      <c r="DN137" s="588"/>
      <c r="DO137" s="588"/>
      <c r="DP137" s="588"/>
      <c r="DQ137" s="51"/>
      <c r="DR137" s="774"/>
      <c r="DS137" s="774"/>
      <c r="DT137" s="774"/>
      <c r="DU137" s="774"/>
      <c r="DV137" s="570"/>
      <c r="DW137" s="570"/>
      <c r="DX137" s="570"/>
      <c r="EO137" s="570"/>
      <c r="EP137" s="570"/>
      <c r="EQ137" s="570"/>
      <c r="ER137" s="570"/>
      <c r="ES137" s="391"/>
      <c r="ET137" s="570"/>
      <c r="EU137" s="255"/>
      <c r="EV137" s="255"/>
      <c r="EW137" s="255"/>
      <c r="EX137" s="255"/>
      <c r="EY137" s="570"/>
      <c r="EZ137" s="570"/>
      <c r="FA137" s="324"/>
      <c r="FB137" s="324"/>
      <c r="FC137" s="684"/>
      <c r="FD137" s="756"/>
      <c r="FE137" s="738"/>
      <c r="FF137" s="739"/>
      <c r="FG137" s="685"/>
      <c r="FH137" s="685"/>
      <c r="FI137" s="685"/>
      <c r="FJ137" s="685"/>
      <c r="FK137" s="685"/>
      <c r="FL137" s="685"/>
      <c r="FM137" s="685"/>
      <c r="FN137" s="685"/>
      <c r="FO137" s="685"/>
      <c r="FP137" s="685"/>
      <c r="FQ137" s="579"/>
      <c r="FR137" s="579"/>
      <c r="FS137" s="579"/>
      <c r="FT137" s="579"/>
      <c r="FU137" s="579"/>
      <c r="FV137" s="579"/>
      <c r="FW137" s="579"/>
      <c r="FX137" s="579"/>
      <c r="FY137" s="588"/>
      <c r="FZ137" s="588"/>
      <c r="GA137" s="588"/>
      <c r="GB137" s="51"/>
      <c r="GC137" s="774"/>
      <c r="GD137" s="774"/>
      <c r="GE137" s="774"/>
      <c r="GF137" s="774"/>
      <c r="GG137" s="324"/>
      <c r="GH137" s="324"/>
      <c r="GI137" s="324"/>
      <c r="GJ137" s="71"/>
      <c r="GK137" s="64"/>
      <c r="GL137" s="324"/>
      <c r="GM137" s="324"/>
      <c r="GN137" s="324"/>
      <c r="GO137" s="324"/>
      <c r="GP137" s="324"/>
      <c r="GQ137" s="324"/>
      <c r="GR137" s="324"/>
      <c r="GS137" s="324"/>
      <c r="GT137" s="324"/>
      <c r="HG137" s="325"/>
      <c r="HH137" s="325"/>
      <c r="HI137" s="325"/>
      <c r="HJ137" s="684"/>
      <c r="HK137" s="684"/>
      <c r="HL137" s="684"/>
    </row>
    <row r="138" spans="1:220" ht="6" customHeight="1">
      <c r="A138" s="324"/>
      <c r="B138" s="775"/>
      <c r="C138" s="775"/>
      <c r="D138" s="893"/>
      <c r="E138" s="782"/>
      <c r="F138" s="776"/>
      <c r="G138" s="739"/>
      <c r="H138" s="777"/>
      <c r="I138" s="777"/>
      <c r="J138" s="778"/>
      <c r="K138" s="778"/>
      <c r="L138" s="779"/>
      <c r="M138" s="779"/>
      <c r="N138" s="780"/>
      <c r="O138" s="781"/>
      <c r="P138" s="324"/>
      <c r="Q138" s="324"/>
      <c r="R138" s="324"/>
      <c r="S138" s="324"/>
      <c r="T138" s="756"/>
      <c r="U138" s="684"/>
      <c r="V138" s="672"/>
      <c r="W138" s="782"/>
      <c r="X138" s="783"/>
      <c r="Y138" s="685"/>
      <c r="Z138" s="685"/>
      <c r="AA138" s="784"/>
      <c r="AB138" s="784"/>
      <c r="AC138" s="784"/>
      <c r="AD138" s="784"/>
      <c r="AE138" s="781"/>
      <c r="AF138" s="781"/>
      <c r="AG138" s="781"/>
      <c r="AH138" s="51"/>
      <c r="AI138" s="774"/>
      <c r="AJ138" s="774"/>
      <c r="AK138" s="774"/>
      <c r="AL138" s="774"/>
      <c r="AM138" s="570"/>
      <c r="AN138" s="589"/>
      <c r="AO138" s="391"/>
      <c r="AP138" s="391"/>
      <c r="AQ138" s="391"/>
      <c r="AS138" s="579"/>
      <c r="AT138" s="579"/>
      <c r="AU138" s="579"/>
      <c r="AV138" s="579"/>
      <c r="AW138" s="588"/>
      <c r="AX138" s="391"/>
      <c r="AY138" s="589"/>
      <c r="AZ138" s="391"/>
      <c r="BA138" s="288"/>
      <c r="BB138" s="288"/>
      <c r="BC138" s="288"/>
      <c r="BD138" s="288"/>
      <c r="BE138" s="288"/>
      <c r="BF138" s="594"/>
      <c r="BG138" s="594"/>
      <c r="BH138" s="594"/>
      <c r="BI138" s="594"/>
      <c r="BX138" s="570"/>
      <c r="BY138" s="570"/>
      <c r="BZ138" s="570"/>
      <c r="CA138" s="391"/>
      <c r="CB138" s="570"/>
      <c r="CC138" s="570"/>
      <c r="CD138" s="391"/>
      <c r="CE138" s="570"/>
      <c r="CF138" s="570"/>
      <c r="CG138" s="570"/>
      <c r="CH138" s="570"/>
      <c r="CI138" s="570"/>
      <c r="CJ138" s="391"/>
      <c r="CK138" s="570"/>
      <c r="CL138" s="570"/>
      <c r="CM138" s="570"/>
      <c r="CN138" s="570"/>
      <c r="CO138" s="570"/>
      <c r="CP138" s="391"/>
      <c r="CQ138" s="570"/>
      <c r="CR138" s="570"/>
      <c r="CS138" s="570"/>
      <c r="CT138" s="570"/>
      <c r="CU138" s="570"/>
      <c r="CV138" s="391"/>
      <c r="CW138" s="570"/>
      <c r="CX138" s="570"/>
      <c r="CY138" s="570"/>
      <c r="CZ138" s="570"/>
      <c r="DA138" s="570"/>
      <c r="DB138" s="391"/>
      <c r="DC138" s="756"/>
      <c r="DD138" s="684"/>
      <c r="DE138" s="672"/>
      <c r="DF138" s="738"/>
      <c r="DG138" s="739"/>
      <c r="DH138" s="685"/>
      <c r="DI138" s="685"/>
      <c r="DJ138" s="579"/>
      <c r="DK138" s="579"/>
      <c r="DL138" s="579"/>
      <c r="DM138" s="579"/>
      <c r="DN138" s="588"/>
      <c r="DO138" s="588"/>
      <c r="DP138" s="588"/>
      <c r="DQ138" s="51"/>
      <c r="DR138" s="774"/>
      <c r="DS138" s="774"/>
      <c r="DT138" s="774"/>
      <c r="DU138" s="774"/>
      <c r="DV138" s="570"/>
      <c r="DW138" s="570"/>
      <c r="DX138" s="570"/>
      <c r="EO138" s="570"/>
      <c r="EP138" s="570"/>
      <c r="EQ138" s="570"/>
      <c r="ER138" s="570"/>
      <c r="ES138" s="391"/>
      <c r="ET138" s="570"/>
      <c r="EU138" s="255"/>
      <c r="EV138" s="255"/>
      <c r="EW138" s="255"/>
      <c r="EX138" s="255"/>
      <c r="EY138" s="570"/>
      <c r="EZ138" s="570"/>
      <c r="FA138" s="324"/>
      <c r="FB138" s="324"/>
      <c r="FC138" s="684"/>
      <c r="FD138" s="756"/>
      <c r="FE138" s="738"/>
      <c r="FF138" s="739"/>
      <c r="FG138" s="685"/>
      <c r="FH138" s="685"/>
      <c r="FI138" s="685"/>
      <c r="FJ138" s="685"/>
      <c r="FK138" s="685"/>
      <c r="FL138" s="685"/>
      <c r="FM138" s="685"/>
      <c r="FN138" s="685"/>
      <c r="FO138" s="685"/>
      <c r="FP138" s="685"/>
      <c r="FQ138" s="579"/>
      <c r="FR138" s="579"/>
      <c r="FS138" s="579"/>
      <c r="FT138" s="579"/>
      <c r="FU138" s="579"/>
      <c r="FV138" s="579"/>
      <c r="FW138" s="579"/>
      <c r="FX138" s="579"/>
      <c r="FY138" s="588"/>
      <c r="FZ138" s="588"/>
      <c r="GA138" s="588"/>
      <c r="GB138" s="51"/>
      <c r="GC138" s="774"/>
      <c r="GD138" s="774"/>
      <c r="GE138" s="774"/>
      <c r="GF138" s="774"/>
      <c r="GG138" s="324"/>
      <c r="GH138" s="324"/>
      <c r="GI138" s="324"/>
      <c r="GJ138" s="71"/>
      <c r="GK138" s="64"/>
      <c r="GL138" s="324"/>
      <c r="GM138" s="324"/>
      <c r="GN138" s="324"/>
      <c r="GO138" s="324"/>
      <c r="GP138" s="324"/>
      <c r="GQ138" s="324"/>
      <c r="GR138" s="324"/>
      <c r="GS138" s="324"/>
      <c r="GT138" s="324"/>
      <c r="HG138" s="325"/>
      <c r="HH138" s="325"/>
      <c r="HI138" s="325"/>
      <c r="HJ138" s="684"/>
      <c r="HK138" s="684"/>
      <c r="HL138" s="684"/>
    </row>
    <row r="139" spans="1:220" ht="15.75" customHeight="1">
      <c r="A139" s="324"/>
      <c r="B139" s="775"/>
      <c r="C139" s="775"/>
      <c r="D139" s="752"/>
      <c r="E139" s="738"/>
      <c r="F139" s="742"/>
      <c r="G139" s="739"/>
      <c r="H139" s="740"/>
      <c r="I139" s="740"/>
      <c r="J139" s="740"/>
      <c r="K139" s="740"/>
      <c r="L139" s="743"/>
      <c r="M139" s="743"/>
      <c r="N139" s="588"/>
      <c r="O139" s="588"/>
      <c r="P139" s="324"/>
      <c r="Q139" s="324"/>
      <c r="R139" s="324"/>
      <c r="S139" s="324"/>
      <c r="T139" s="758"/>
      <c r="U139" s="672"/>
      <c r="V139" s="672"/>
      <c r="W139" s="738"/>
      <c r="X139" s="739"/>
      <c r="Y139" s="685"/>
      <c r="Z139" s="685"/>
      <c r="AA139" s="587"/>
      <c r="AB139" s="587"/>
      <c r="AC139" s="587"/>
      <c r="AD139" s="587"/>
      <c r="AE139" s="588"/>
      <c r="AF139" s="579"/>
      <c r="AG139" s="588"/>
      <c r="AH139" s="85"/>
      <c r="AI139" s="774"/>
      <c r="AJ139" s="774"/>
      <c r="AK139" s="774"/>
      <c r="AL139" s="774"/>
      <c r="AM139" s="570"/>
      <c r="AN139" s="570"/>
      <c r="AO139" s="391"/>
      <c r="AP139" s="391"/>
      <c r="AQ139" s="391"/>
      <c r="AS139" s="579"/>
      <c r="AT139" s="579"/>
      <c r="AU139" s="579"/>
      <c r="AV139" s="579"/>
      <c r="AW139" s="588"/>
      <c r="AX139" s="391"/>
      <c r="AY139" s="391"/>
      <c r="AZ139" s="391"/>
      <c r="BA139" s="288"/>
      <c r="BB139" s="288"/>
      <c r="BC139" s="288"/>
      <c r="BD139" s="288"/>
      <c r="BE139" s="288"/>
      <c r="BF139" s="288"/>
      <c r="BG139" s="288"/>
      <c r="BH139" s="288"/>
      <c r="BI139" s="288"/>
      <c r="BX139" s="570"/>
      <c r="BY139" s="570"/>
      <c r="BZ139" s="570"/>
      <c r="CA139" s="391"/>
      <c r="CB139" s="570"/>
      <c r="CC139" s="570"/>
      <c r="CD139" s="391"/>
      <c r="CE139" s="570"/>
      <c r="CF139" s="570"/>
      <c r="CG139" s="570"/>
      <c r="CH139" s="570"/>
      <c r="CI139" s="570"/>
      <c r="CJ139" s="391"/>
      <c r="CK139" s="570"/>
      <c r="CL139" s="570"/>
      <c r="CM139" s="570"/>
      <c r="CN139" s="570"/>
      <c r="CO139" s="570"/>
      <c r="CP139" s="391"/>
      <c r="CQ139" s="570"/>
      <c r="CR139" s="570"/>
      <c r="CS139" s="570"/>
      <c r="CT139" s="570"/>
      <c r="CU139" s="570"/>
      <c r="CV139" s="391"/>
      <c r="CW139" s="570"/>
      <c r="CX139" s="570"/>
      <c r="CY139" s="570"/>
      <c r="CZ139" s="570"/>
      <c r="DA139" s="570"/>
      <c r="DB139" s="391"/>
      <c r="DC139" s="758"/>
      <c r="DD139" s="672"/>
      <c r="DE139" s="672"/>
      <c r="DF139" s="738"/>
      <c r="DG139" s="739"/>
      <c r="DH139" s="685"/>
      <c r="DI139" s="685"/>
      <c r="DJ139" s="741"/>
      <c r="DK139" s="741"/>
      <c r="DL139" s="741"/>
      <c r="DM139" s="741"/>
      <c r="DN139" s="588"/>
      <c r="DO139" s="579"/>
      <c r="DP139" s="588"/>
      <c r="DQ139" s="85"/>
      <c r="DR139" s="774"/>
      <c r="DS139" s="774"/>
      <c r="DT139" s="774"/>
      <c r="DU139" s="774"/>
      <c r="DV139" s="570"/>
      <c r="DW139" s="570"/>
      <c r="DX139" s="570"/>
      <c r="EO139" s="570"/>
      <c r="EP139" s="570"/>
      <c r="EQ139" s="570"/>
      <c r="ER139" s="570"/>
      <c r="ES139" s="391"/>
      <c r="ET139" s="570"/>
      <c r="EU139" s="570"/>
      <c r="EV139" s="570"/>
      <c r="EW139" s="570"/>
      <c r="EX139" s="570"/>
      <c r="EY139" s="570"/>
      <c r="EZ139" s="570"/>
      <c r="FA139" s="324"/>
      <c r="FB139" s="324"/>
      <c r="FC139" s="672"/>
      <c r="FD139" s="758"/>
      <c r="FE139" s="738"/>
      <c r="FF139" s="739"/>
      <c r="FG139" s="685"/>
      <c r="FH139" s="685"/>
      <c r="FI139" s="685"/>
      <c r="FJ139" s="685"/>
      <c r="FK139" s="685"/>
      <c r="FL139" s="685"/>
      <c r="FM139" s="685"/>
      <c r="FN139" s="685"/>
      <c r="FO139" s="685"/>
      <c r="FP139" s="685"/>
      <c r="FQ139" s="588"/>
      <c r="FR139" s="588"/>
      <c r="FS139" s="588"/>
      <c r="FT139" s="588"/>
      <c r="FU139" s="588"/>
      <c r="FV139" s="588"/>
      <c r="FW139" s="579"/>
      <c r="FX139" s="579"/>
      <c r="FY139" s="588"/>
      <c r="FZ139" s="579"/>
      <c r="GA139" s="588"/>
      <c r="GB139" s="85"/>
      <c r="GC139" s="774"/>
      <c r="GD139" s="774"/>
      <c r="GE139" s="774"/>
      <c r="GF139" s="774"/>
      <c r="GG139" s="324"/>
      <c r="GH139" s="324"/>
      <c r="GI139" s="324"/>
      <c r="GJ139" s="64"/>
      <c r="GK139" s="64"/>
      <c r="GL139" s="324"/>
      <c r="GM139" s="324"/>
      <c r="GN139" s="324"/>
      <c r="GO139" s="324"/>
      <c r="GP139" s="324"/>
      <c r="GQ139" s="324"/>
      <c r="GR139" s="324"/>
      <c r="GS139" s="324"/>
      <c r="GT139" s="324"/>
      <c r="HG139" s="325"/>
      <c r="HH139" s="325"/>
      <c r="HI139" s="325"/>
      <c r="HJ139" s="672"/>
      <c r="HK139" s="672"/>
      <c r="HL139" s="672"/>
    </row>
    <row r="140" spans="1:220" ht="15">
      <c r="A140" s="324"/>
      <c r="B140" s="775"/>
      <c r="C140" s="775"/>
      <c r="D140" s="752"/>
      <c r="E140" s="738"/>
      <c r="F140" s="742"/>
      <c r="G140" s="739"/>
      <c r="H140" s="740"/>
      <c r="I140" s="740"/>
      <c r="J140" s="740"/>
      <c r="K140" s="740"/>
      <c r="L140" s="743"/>
      <c r="M140" s="743"/>
      <c r="N140" s="588"/>
      <c r="O140" s="588"/>
      <c r="P140" s="324"/>
      <c r="Q140" s="324"/>
      <c r="R140" s="324"/>
      <c r="S140" s="324"/>
      <c r="T140" s="758"/>
      <c r="U140" s="672"/>
      <c r="V140" s="672"/>
      <c r="W140" s="738"/>
      <c r="X140" s="739"/>
      <c r="Y140" s="685"/>
      <c r="Z140" s="685"/>
      <c r="AA140" s="590"/>
      <c r="AB140" s="590"/>
      <c r="AC140" s="590"/>
      <c r="AD140" s="590"/>
      <c r="AE140" s="588"/>
      <c r="AF140" s="579"/>
      <c r="AG140" s="588"/>
      <c r="AH140" s="85"/>
      <c r="AI140" s="324"/>
      <c r="AJ140" s="324"/>
      <c r="AK140" s="324"/>
      <c r="AL140" s="324"/>
      <c r="AM140" s="570"/>
      <c r="AN140" s="570"/>
      <c r="AO140" s="391"/>
      <c r="AP140" s="391"/>
      <c r="AQ140" s="391"/>
      <c r="AS140" s="579"/>
      <c r="AT140" s="579"/>
      <c r="AU140" s="579"/>
      <c r="AV140" s="579"/>
      <c r="AW140" s="588"/>
      <c r="AX140" s="391"/>
      <c r="AY140" s="391"/>
      <c r="AZ140" s="391"/>
      <c r="BX140" s="570"/>
      <c r="BY140" s="570"/>
      <c r="BZ140" s="570"/>
      <c r="CA140" s="391"/>
      <c r="CB140" s="570"/>
      <c r="CC140" s="570"/>
      <c r="CD140" s="391"/>
      <c r="CE140" s="570"/>
      <c r="CF140" s="570"/>
      <c r="CG140" s="570"/>
      <c r="CH140" s="570"/>
      <c r="CI140" s="570"/>
      <c r="CJ140" s="391"/>
      <c r="CK140" s="570"/>
      <c r="CL140" s="570"/>
      <c r="CM140" s="570"/>
      <c r="CN140" s="570"/>
      <c r="CO140" s="570"/>
      <c r="CP140" s="391"/>
      <c r="CQ140" s="570"/>
      <c r="CR140" s="570"/>
      <c r="CS140" s="570"/>
      <c r="CT140" s="570"/>
      <c r="CU140" s="570"/>
      <c r="CV140" s="391"/>
      <c r="CW140" s="570"/>
      <c r="CX140" s="570"/>
      <c r="CY140" s="570"/>
      <c r="CZ140" s="570"/>
      <c r="DA140" s="570"/>
      <c r="DB140" s="391"/>
      <c r="DC140" s="758"/>
      <c r="DD140" s="672"/>
      <c r="DE140" s="672"/>
      <c r="DF140" s="738"/>
      <c r="DG140" s="739"/>
      <c r="DH140" s="685"/>
      <c r="DI140" s="685"/>
      <c r="DJ140" s="579"/>
      <c r="DK140" s="579"/>
      <c r="DL140" s="579"/>
      <c r="DM140" s="579"/>
      <c r="DN140" s="588"/>
      <c r="DO140" s="579"/>
      <c r="DP140" s="588"/>
      <c r="DQ140" s="85"/>
      <c r="DR140" s="324"/>
      <c r="DS140" s="324"/>
      <c r="DT140" s="324"/>
      <c r="DU140" s="324"/>
      <c r="DV140" s="570"/>
      <c r="DW140" s="570"/>
      <c r="DX140" s="570"/>
      <c r="EO140" s="570"/>
      <c r="EP140" s="570"/>
      <c r="EQ140" s="570"/>
      <c r="ER140" s="570"/>
      <c r="ES140" s="391"/>
      <c r="ET140" s="570"/>
      <c r="EU140" s="570"/>
      <c r="EV140" s="570"/>
      <c r="EW140" s="570"/>
      <c r="EX140" s="570"/>
      <c r="EY140" s="570"/>
      <c r="EZ140" s="570"/>
      <c r="FA140" s="324"/>
      <c r="FB140" s="324"/>
      <c r="FC140" s="672"/>
      <c r="FD140" s="758"/>
      <c r="FE140" s="738"/>
      <c r="FF140" s="739"/>
      <c r="FG140" s="685"/>
      <c r="FH140" s="685"/>
      <c r="FI140" s="685"/>
      <c r="FJ140" s="685"/>
      <c r="FK140" s="685"/>
      <c r="FL140" s="685"/>
      <c r="FM140" s="685"/>
      <c r="FN140" s="685"/>
      <c r="FO140" s="685"/>
      <c r="FP140" s="685"/>
      <c r="FQ140" s="588"/>
      <c r="FR140" s="588"/>
      <c r="FS140" s="588"/>
      <c r="FT140" s="588"/>
      <c r="FU140" s="588"/>
      <c r="FV140" s="588"/>
      <c r="FW140" s="579"/>
      <c r="FX140" s="579"/>
      <c r="FY140" s="588"/>
      <c r="FZ140" s="579"/>
      <c r="GA140" s="588"/>
      <c r="GB140" s="85"/>
      <c r="GC140" s="324"/>
      <c r="GD140" s="324"/>
      <c r="GE140" s="324"/>
      <c r="GF140" s="324"/>
      <c r="GG140" s="324"/>
      <c r="GH140" s="324"/>
      <c r="GI140" s="324"/>
      <c r="GJ140" s="64"/>
      <c r="GK140" s="64"/>
      <c r="GL140" s="324"/>
      <c r="GM140" s="324"/>
      <c r="GN140" s="324"/>
      <c r="GO140" s="324"/>
      <c r="GP140" s="324"/>
      <c r="GQ140" s="324"/>
      <c r="GR140" s="324"/>
      <c r="GS140" s="324"/>
      <c r="GT140" s="324"/>
      <c r="HG140" s="325"/>
      <c r="HH140" s="325"/>
      <c r="HI140" s="325"/>
      <c r="HJ140" s="672"/>
      <c r="HK140" s="672"/>
      <c r="HL140" s="672"/>
    </row>
    <row r="141" spans="1:220" ht="15">
      <c r="A141" s="324"/>
      <c r="B141" s="775"/>
      <c r="C141" s="775"/>
      <c r="D141" s="752"/>
      <c r="E141" s="738"/>
      <c r="F141" s="742"/>
      <c r="G141" s="739"/>
      <c r="H141" s="740"/>
      <c r="I141" s="740"/>
      <c r="J141" s="740"/>
      <c r="K141" s="740"/>
      <c r="L141" s="743"/>
      <c r="M141" s="743"/>
      <c r="N141" s="588"/>
      <c r="O141" s="588"/>
      <c r="P141" s="324"/>
      <c r="Q141" s="744"/>
      <c r="R141" s="324"/>
      <c r="S141" s="324"/>
      <c r="T141" s="758"/>
      <c r="U141" s="672"/>
      <c r="V141" s="672"/>
      <c r="W141" s="738"/>
      <c r="X141" s="739"/>
      <c r="Y141" s="685"/>
      <c r="Z141" s="685"/>
      <c r="AA141" s="590"/>
      <c r="AB141" s="590"/>
      <c r="AC141" s="590"/>
      <c r="AD141" s="590"/>
      <c r="AE141" s="588"/>
      <c r="AF141" s="579"/>
      <c r="AG141" s="588"/>
      <c r="AH141" s="85"/>
      <c r="AI141" s="701"/>
      <c r="AJ141" s="701"/>
      <c r="AK141" s="701"/>
      <c r="AL141" s="324"/>
      <c r="AM141" s="570"/>
      <c r="AN141" s="570"/>
      <c r="AO141" s="391"/>
      <c r="AP141" s="391"/>
      <c r="AQ141" s="391"/>
      <c r="AS141" s="579"/>
      <c r="AT141" s="579"/>
      <c r="AU141" s="579"/>
      <c r="AV141" s="579"/>
      <c r="AW141" s="588"/>
      <c r="AX141" s="391"/>
      <c r="AY141" s="391"/>
      <c r="AZ141" s="391"/>
      <c r="BX141" s="570"/>
      <c r="BY141" s="570"/>
      <c r="BZ141" s="570"/>
      <c r="CA141" s="391"/>
      <c r="CB141" s="570"/>
      <c r="CC141" s="570"/>
      <c r="CD141" s="391"/>
      <c r="CE141" s="570"/>
      <c r="CF141" s="570"/>
      <c r="CG141" s="570"/>
      <c r="CH141" s="570"/>
      <c r="CI141" s="570"/>
      <c r="CJ141" s="391"/>
      <c r="CK141" s="570"/>
      <c r="CL141" s="570"/>
      <c r="CM141" s="570"/>
      <c r="CN141" s="570"/>
      <c r="CO141" s="570"/>
      <c r="CP141" s="391"/>
      <c r="CQ141" s="570"/>
      <c r="CR141" s="570"/>
      <c r="CS141" s="570"/>
      <c r="CT141" s="570"/>
      <c r="CU141" s="570"/>
      <c r="CV141" s="391"/>
      <c r="CW141" s="570"/>
      <c r="CX141" s="570"/>
      <c r="CY141" s="570"/>
      <c r="CZ141" s="570"/>
      <c r="DA141" s="570"/>
      <c r="DB141" s="391"/>
      <c r="DC141" s="758"/>
      <c r="DD141" s="672"/>
      <c r="DE141" s="672"/>
      <c r="DF141" s="738"/>
      <c r="DG141" s="739"/>
      <c r="DH141" s="685"/>
      <c r="DI141" s="685"/>
      <c r="DJ141" s="579"/>
      <c r="DK141" s="579"/>
      <c r="DL141" s="579"/>
      <c r="DM141" s="579"/>
      <c r="DN141" s="588"/>
      <c r="DO141" s="579"/>
      <c r="DP141" s="588"/>
      <c r="DQ141" s="85"/>
      <c r="DR141" s="701"/>
      <c r="DS141" s="701"/>
      <c r="DT141" s="701"/>
      <c r="DU141" s="324"/>
      <c r="DV141" s="570"/>
      <c r="DW141" s="570"/>
      <c r="DX141" s="570"/>
      <c r="EO141" s="570"/>
      <c r="EP141" s="570"/>
      <c r="EQ141" s="570"/>
      <c r="ER141" s="570"/>
      <c r="ES141" s="391"/>
      <c r="ET141" s="570"/>
      <c r="EU141" s="570"/>
      <c r="EV141" s="570"/>
      <c r="EW141" s="570"/>
      <c r="EX141" s="570"/>
      <c r="EY141" s="570"/>
      <c r="EZ141" s="570"/>
      <c r="FA141" s="324"/>
      <c r="FB141" s="324"/>
      <c r="FC141" s="672"/>
      <c r="FD141" s="758"/>
      <c r="FE141" s="738"/>
      <c r="FF141" s="739"/>
      <c r="FG141" s="685"/>
      <c r="FH141" s="685"/>
      <c r="FI141" s="685"/>
      <c r="FJ141" s="685"/>
      <c r="FK141" s="685"/>
      <c r="FL141" s="685"/>
      <c r="FM141" s="685"/>
      <c r="FN141" s="685"/>
      <c r="FO141" s="685"/>
      <c r="FP141" s="685"/>
      <c r="FQ141" s="588"/>
      <c r="FR141" s="588"/>
      <c r="FS141" s="588"/>
      <c r="FT141" s="588"/>
      <c r="FU141" s="588"/>
      <c r="FV141" s="588"/>
      <c r="FW141" s="579"/>
      <c r="FX141" s="579"/>
      <c r="FY141" s="588"/>
      <c r="FZ141" s="579"/>
      <c r="GA141" s="588"/>
      <c r="GB141" s="85"/>
      <c r="GC141" s="701"/>
      <c r="GD141" s="701"/>
      <c r="GE141" s="701"/>
      <c r="GF141" s="324"/>
      <c r="GG141" s="324"/>
      <c r="GH141" s="324"/>
      <c r="GI141" s="324"/>
      <c r="GJ141" s="64"/>
      <c r="GK141" s="64"/>
      <c r="GL141" s="324"/>
      <c r="GM141" s="324"/>
      <c r="GN141" s="324"/>
      <c r="GO141" s="324"/>
      <c r="GP141" s="324"/>
      <c r="GQ141" s="324"/>
      <c r="GR141" s="324"/>
      <c r="GS141" s="324"/>
      <c r="GT141" s="324"/>
      <c r="HG141" s="325"/>
      <c r="HH141" s="325"/>
      <c r="HI141" s="325"/>
      <c r="HJ141" s="672"/>
      <c r="HK141" s="672"/>
      <c r="HL141" s="672"/>
    </row>
    <row r="142" spans="1:220" ht="15" customHeight="1">
      <c r="A142" s="324"/>
      <c r="B142" s="767"/>
      <c r="C142" s="702"/>
      <c r="D142" s="709"/>
      <c r="E142" s="672"/>
      <c r="F142" s="710"/>
      <c r="G142" s="324"/>
      <c r="H142" s="745"/>
      <c r="I142" s="745"/>
      <c r="J142" s="745"/>
      <c r="K142" s="745"/>
      <c r="L142" s="745"/>
      <c r="M142" s="745"/>
      <c r="N142" s="579"/>
      <c r="O142" s="746"/>
      <c r="P142" s="324"/>
      <c r="Q142" s="747"/>
      <c r="R142" s="747"/>
      <c r="S142" s="324"/>
      <c r="T142" s="702"/>
      <c r="U142" s="709"/>
      <c r="V142" s="672"/>
      <c r="W142" s="710"/>
      <c r="X142" s="711"/>
      <c r="Y142" s="785"/>
      <c r="Z142" s="786"/>
      <c r="AA142" s="591"/>
      <c r="AB142" s="591"/>
      <c r="AC142" s="591"/>
      <c r="AD142" s="591"/>
      <c r="AE142" s="579"/>
      <c r="AF142" s="579"/>
      <c r="AG142" s="588"/>
      <c r="AH142" s="85"/>
      <c r="AI142" s="675"/>
      <c r="AJ142" s="675"/>
      <c r="AK142" s="324"/>
      <c r="AL142" s="324"/>
      <c r="AM142" s="570"/>
      <c r="AN142" s="570"/>
      <c r="AO142" s="391"/>
      <c r="AP142" s="391"/>
      <c r="AQ142" s="391"/>
      <c r="AS142" s="591"/>
      <c r="AT142" s="591"/>
      <c r="AU142" s="591"/>
      <c r="AV142" s="591"/>
      <c r="AW142" s="579"/>
      <c r="AX142" s="391"/>
      <c r="AY142" s="391"/>
      <c r="AZ142" s="391"/>
      <c r="BX142" s="570"/>
      <c r="BY142" s="570"/>
      <c r="BZ142" s="570"/>
      <c r="CA142" s="570"/>
      <c r="CB142" s="570"/>
      <c r="CC142" s="570"/>
      <c r="CD142" s="391"/>
      <c r="CE142" s="570"/>
      <c r="CF142" s="570"/>
      <c r="CG142" s="570"/>
      <c r="CH142" s="570"/>
      <c r="CI142" s="570"/>
      <c r="CJ142" s="391"/>
      <c r="CK142" s="570"/>
      <c r="CL142" s="570"/>
      <c r="CM142" s="570"/>
      <c r="CN142" s="570"/>
      <c r="CO142" s="570"/>
      <c r="CP142" s="391"/>
      <c r="CQ142" s="570"/>
      <c r="CR142" s="570"/>
      <c r="CS142" s="570"/>
      <c r="CT142" s="570"/>
      <c r="CU142" s="570"/>
      <c r="CV142" s="391"/>
      <c r="CW142" s="570"/>
      <c r="CX142" s="570"/>
      <c r="CY142" s="570"/>
      <c r="CZ142" s="570"/>
      <c r="DA142" s="570"/>
      <c r="DB142" s="391"/>
      <c r="DC142" s="702"/>
      <c r="DD142" s="709"/>
      <c r="DE142" s="672"/>
      <c r="DF142" s="710"/>
      <c r="DG142" s="711"/>
      <c r="DH142" s="785"/>
      <c r="DI142" s="786"/>
      <c r="DJ142" s="591"/>
      <c r="DK142" s="591"/>
      <c r="DL142" s="591"/>
      <c r="DM142" s="591"/>
      <c r="DN142" s="579"/>
      <c r="DO142" s="579"/>
      <c r="DP142" s="588"/>
      <c r="DQ142" s="85"/>
      <c r="DR142" s="675"/>
      <c r="DS142" s="675"/>
      <c r="DT142" s="324"/>
      <c r="DU142" s="324"/>
      <c r="DV142" s="570"/>
      <c r="DW142" s="570"/>
      <c r="DX142" s="570"/>
      <c r="EO142" s="570"/>
      <c r="EP142" s="570"/>
      <c r="EQ142" s="570"/>
      <c r="ER142" s="570"/>
      <c r="ES142" s="391"/>
      <c r="ET142" s="570"/>
      <c r="EU142" s="570"/>
      <c r="EV142" s="570"/>
      <c r="EW142" s="570"/>
      <c r="EX142" s="570"/>
      <c r="EY142" s="570"/>
      <c r="EZ142" s="570"/>
      <c r="FA142" s="324"/>
      <c r="FB142" s="702"/>
      <c r="FC142" s="709"/>
      <c r="FD142" s="672"/>
      <c r="FE142" s="710"/>
      <c r="FF142" s="711"/>
      <c r="FG142" s="785"/>
      <c r="FH142" s="785"/>
      <c r="FI142" s="785"/>
      <c r="FJ142" s="785"/>
      <c r="FK142" s="786"/>
      <c r="FL142" s="1044"/>
      <c r="FM142" s="1044"/>
      <c r="FN142" s="1044"/>
      <c r="FO142" s="1044"/>
      <c r="FP142" s="1044"/>
      <c r="FQ142" s="591"/>
      <c r="FR142" s="591"/>
      <c r="FS142" s="591"/>
      <c r="FT142" s="591"/>
      <c r="FU142" s="591"/>
      <c r="FV142" s="591"/>
      <c r="FW142" s="591"/>
      <c r="FX142" s="591"/>
      <c r="FY142" s="579"/>
      <c r="FZ142" s="579"/>
      <c r="GA142" s="588"/>
      <c r="GB142" s="85"/>
      <c r="GC142" s="675"/>
      <c r="GD142" s="675"/>
      <c r="GE142" s="324"/>
      <c r="GF142" s="324"/>
      <c r="GG142" s="324"/>
      <c r="GH142" s="324"/>
      <c r="GI142" s="324"/>
      <c r="GJ142" s="64"/>
      <c r="GK142" s="64"/>
      <c r="GL142" s="324"/>
      <c r="GM142" s="324"/>
      <c r="GN142" s="324"/>
      <c r="GO142" s="324"/>
      <c r="GP142" s="324"/>
      <c r="GQ142" s="324"/>
      <c r="GR142" s="324"/>
      <c r="GS142" s="324"/>
      <c r="GT142" s="324"/>
      <c r="HG142" s="80"/>
      <c r="HH142" s="80"/>
      <c r="HI142" s="80"/>
      <c r="HJ142" s="709"/>
      <c r="HK142" s="709"/>
      <c r="HL142" s="709"/>
    </row>
    <row r="143" spans="1:220" ht="15.75" customHeight="1">
      <c r="A143" s="324"/>
      <c r="B143" s="767"/>
      <c r="C143" s="712"/>
      <c r="D143" s="712"/>
      <c r="E143" s="891"/>
      <c r="F143" s="715"/>
      <c r="G143" s="324"/>
      <c r="H143" s="787"/>
      <c r="I143" s="787"/>
      <c r="J143" s="787"/>
      <c r="K143" s="787"/>
      <c r="L143" s="787"/>
      <c r="M143" s="787"/>
      <c r="N143" s="324"/>
      <c r="O143" s="748"/>
      <c r="P143" s="324"/>
      <c r="Q143" s="749"/>
      <c r="R143" s="747"/>
      <c r="S143" s="324"/>
      <c r="T143" s="712"/>
      <c r="U143" s="712"/>
      <c r="V143" s="891"/>
      <c r="W143" s="715"/>
      <c r="X143" s="716"/>
      <c r="Y143" s="788"/>
      <c r="Z143" s="788"/>
      <c r="AA143" s="654"/>
      <c r="AB143" s="654"/>
      <c r="AC143" s="654"/>
      <c r="AD143" s="654"/>
      <c r="AE143" s="655"/>
      <c r="AF143" s="780"/>
      <c r="AG143" s="780"/>
      <c r="AH143" s="324"/>
      <c r="AI143" s="675"/>
      <c r="AJ143" s="675"/>
      <c r="AK143" s="324"/>
      <c r="AL143" s="324"/>
      <c r="AM143" s="570"/>
      <c r="AN143" s="570"/>
      <c r="AO143" s="391"/>
      <c r="AP143" s="391"/>
      <c r="AQ143" s="391"/>
      <c r="AS143" s="391"/>
      <c r="AT143" s="391"/>
      <c r="AU143" s="391"/>
      <c r="AV143" s="391"/>
      <c r="AW143" s="391"/>
      <c r="AX143" s="592"/>
      <c r="AY143" s="391"/>
      <c r="AZ143" s="391"/>
      <c r="BX143" s="570"/>
      <c r="BY143" s="570"/>
      <c r="BZ143" s="570"/>
      <c r="CA143" s="570"/>
      <c r="CB143" s="570"/>
      <c r="CC143" s="570"/>
      <c r="CD143" s="391"/>
      <c r="CE143" s="570"/>
      <c r="CF143" s="570"/>
      <c r="CG143" s="570"/>
      <c r="CH143" s="570"/>
      <c r="CI143" s="570"/>
      <c r="CJ143" s="391"/>
      <c r="CK143" s="570"/>
      <c r="CL143" s="570"/>
      <c r="CM143" s="570"/>
      <c r="CN143" s="570"/>
      <c r="CO143" s="570"/>
      <c r="CP143" s="391"/>
      <c r="CQ143" s="570"/>
      <c r="CR143" s="570"/>
      <c r="CS143" s="570"/>
      <c r="CT143" s="570"/>
      <c r="CU143" s="570"/>
      <c r="CV143" s="391"/>
      <c r="CW143" s="570"/>
      <c r="CX143" s="570"/>
      <c r="CY143" s="570"/>
      <c r="CZ143" s="570"/>
      <c r="DA143" s="570"/>
      <c r="DB143" s="391"/>
      <c r="DC143" s="712"/>
      <c r="DD143" s="712"/>
      <c r="DE143" s="891"/>
      <c r="DF143" s="715"/>
      <c r="DG143" s="716"/>
      <c r="DH143" s="788"/>
      <c r="DI143" s="788"/>
      <c r="DJ143" s="654"/>
      <c r="DK143" s="654"/>
      <c r="DL143" s="654"/>
      <c r="DM143" s="654"/>
      <c r="DN143" s="655"/>
      <c r="DO143" s="780"/>
      <c r="DP143" s="780"/>
      <c r="DQ143" s="324"/>
      <c r="DR143" s="675"/>
      <c r="DS143" s="675"/>
      <c r="DT143" s="324"/>
      <c r="DU143" s="324"/>
      <c r="DV143" s="570"/>
      <c r="DW143" s="570"/>
      <c r="DX143" s="570"/>
      <c r="EO143" s="570"/>
      <c r="EP143" s="570"/>
      <c r="EQ143" s="570"/>
      <c r="ER143" s="570"/>
      <c r="ES143" s="391"/>
      <c r="ET143" s="570"/>
      <c r="EU143" s="570"/>
      <c r="EV143" s="570"/>
      <c r="EW143" s="570"/>
      <c r="EX143" s="570"/>
      <c r="EY143" s="570"/>
      <c r="EZ143" s="570"/>
      <c r="FA143" s="324"/>
      <c r="FB143" s="712"/>
      <c r="FC143" s="712"/>
      <c r="FD143" s="891"/>
      <c r="FE143" s="715"/>
      <c r="FF143" s="716"/>
      <c r="FG143" s="788"/>
      <c r="FH143" s="788"/>
      <c r="FI143" s="788"/>
      <c r="FJ143" s="788"/>
      <c r="FK143" s="788"/>
      <c r="FL143" s="684"/>
      <c r="FM143" s="684"/>
      <c r="FN143" s="684"/>
      <c r="FO143" s="684"/>
      <c r="FP143" s="684"/>
      <c r="FQ143" s="654"/>
      <c r="FR143" s="654"/>
      <c r="FS143" s="654"/>
      <c r="FT143" s="654"/>
      <c r="FU143" s="654"/>
      <c r="FV143" s="654"/>
      <c r="FW143" s="654"/>
      <c r="FX143" s="654"/>
      <c r="FY143" s="655"/>
      <c r="FZ143" s="780"/>
      <c r="GA143" s="780"/>
      <c r="GB143" s="324"/>
      <c r="GC143" s="675"/>
      <c r="GD143" s="675"/>
      <c r="GE143" s="324"/>
      <c r="GF143" s="324"/>
      <c r="GG143" s="324"/>
      <c r="GH143" s="324"/>
      <c r="GI143" s="324"/>
      <c r="GJ143" s="64"/>
      <c r="GK143" s="64"/>
      <c r="GL143" s="324"/>
      <c r="GM143" s="324"/>
      <c r="GN143" s="324"/>
      <c r="GO143" s="324"/>
      <c r="GP143" s="324"/>
      <c r="GQ143" s="324"/>
      <c r="GR143" s="324"/>
      <c r="GS143" s="324"/>
      <c r="GT143" s="324"/>
      <c r="HG143" s="798"/>
      <c r="HH143" s="798"/>
      <c r="HI143" s="798"/>
      <c r="HJ143" s="798"/>
      <c r="HK143" s="798"/>
      <c r="HL143" s="798"/>
    </row>
    <row r="144" spans="1:220" ht="24.75" customHeight="1">
      <c r="A144" s="324"/>
      <c r="B144" s="717"/>
      <c r="C144" s="718"/>
      <c r="D144" s="892"/>
      <c r="E144" s="790"/>
      <c r="F144" s="712"/>
      <c r="G144" s="750"/>
      <c r="H144" s="750"/>
      <c r="I144" s="751"/>
      <c r="J144" s="752"/>
      <c r="K144" s="752"/>
      <c r="L144" s="752"/>
      <c r="M144" s="752"/>
      <c r="N144" s="655"/>
      <c r="O144" s="753"/>
      <c r="P144" s="324"/>
      <c r="Q144" s="324"/>
      <c r="R144" s="324"/>
      <c r="S144" s="324"/>
      <c r="T144" s="373"/>
      <c r="U144" s="373"/>
      <c r="V144" s="373"/>
      <c r="W144" s="373"/>
      <c r="X144" s="373"/>
      <c r="Y144" s="373"/>
      <c r="Z144" s="373"/>
      <c r="AA144" s="789"/>
      <c r="AB144" s="789"/>
      <c r="AC144" s="727"/>
      <c r="AD144" s="790"/>
      <c r="AE144" s="790"/>
      <c r="AF144" s="791"/>
      <c r="AG144" s="791"/>
      <c r="AH144" s="51"/>
      <c r="AI144" s="373"/>
      <c r="AJ144" s="373"/>
      <c r="AK144" s="373"/>
      <c r="AL144" s="373"/>
      <c r="AM144" s="570"/>
      <c r="AN144" s="570"/>
      <c r="AO144" s="391"/>
      <c r="AP144" s="391"/>
      <c r="AQ144" s="391"/>
      <c r="BX144" s="570"/>
      <c r="BY144" s="570"/>
      <c r="BZ144" s="570"/>
      <c r="CA144" s="570"/>
      <c r="CB144" s="570"/>
      <c r="CC144" s="570"/>
      <c r="CD144" s="391"/>
      <c r="CE144" s="570"/>
      <c r="CF144" s="570"/>
      <c r="CG144" s="570"/>
      <c r="CH144" s="570"/>
      <c r="CI144" s="570"/>
      <c r="CJ144" s="391"/>
      <c r="CK144" s="570"/>
      <c r="CL144" s="570"/>
      <c r="CM144" s="570"/>
      <c r="CN144" s="570"/>
      <c r="CO144" s="570"/>
      <c r="CP144" s="391"/>
      <c r="CQ144" s="570"/>
      <c r="CR144" s="570"/>
      <c r="CS144" s="570"/>
      <c r="CT144" s="570"/>
      <c r="CU144" s="570"/>
      <c r="CV144" s="391"/>
      <c r="CW144" s="570"/>
      <c r="CX144" s="570"/>
      <c r="CY144" s="570"/>
      <c r="CZ144" s="570"/>
      <c r="DA144" s="570"/>
      <c r="DB144" s="391"/>
      <c r="DC144" s="373"/>
      <c r="DD144" s="373"/>
      <c r="DE144" s="373"/>
      <c r="DF144" s="373"/>
      <c r="DG144" s="373"/>
      <c r="DH144" s="373"/>
      <c r="DI144" s="373"/>
      <c r="DJ144" s="789"/>
      <c r="DK144" s="789"/>
      <c r="DL144" s="727"/>
      <c r="DM144" s="790"/>
      <c r="DN144" s="790"/>
      <c r="DO144" s="791"/>
      <c r="DP144" s="791"/>
      <c r="DQ144" s="51"/>
      <c r="DR144" s="373"/>
      <c r="DS144" s="373"/>
      <c r="DT144" s="373"/>
      <c r="DU144" s="373"/>
      <c r="DV144" s="570"/>
      <c r="DW144" s="570"/>
      <c r="DX144" s="570"/>
      <c r="EO144" s="570"/>
      <c r="EP144" s="570"/>
      <c r="EQ144" s="570"/>
      <c r="ER144" s="570"/>
      <c r="ES144" s="391"/>
      <c r="ET144" s="570"/>
      <c r="EU144" s="570"/>
      <c r="EV144" s="570"/>
      <c r="EW144" s="570"/>
      <c r="EX144" s="570"/>
      <c r="EY144" s="570"/>
      <c r="EZ144" s="570"/>
      <c r="FA144" s="324"/>
      <c r="FB144" s="324"/>
      <c r="FC144" s="373"/>
      <c r="FD144" s="373"/>
      <c r="FE144" s="373"/>
      <c r="FF144" s="373"/>
      <c r="FG144" s="373"/>
      <c r="FH144" s="373"/>
      <c r="FI144" s="373"/>
      <c r="FJ144" s="373"/>
      <c r="FK144" s="373"/>
      <c r="FL144" s="1040"/>
      <c r="FM144" s="1040"/>
      <c r="FN144" s="1040"/>
      <c r="FO144" s="1040"/>
      <c r="FP144" s="1040"/>
      <c r="FQ144" s="789"/>
      <c r="FR144" s="789"/>
      <c r="FS144" s="789"/>
      <c r="FT144" s="789"/>
      <c r="FU144" s="789"/>
      <c r="FV144" s="789"/>
      <c r="FW144" s="727"/>
      <c r="FX144" s="790"/>
      <c r="FY144" s="790"/>
      <c r="FZ144" s="791"/>
      <c r="GA144" s="791"/>
      <c r="GB144" s="51"/>
      <c r="GC144" s="373"/>
      <c r="GD144" s="373"/>
      <c r="GE144" s="373"/>
      <c r="GF144" s="373"/>
      <c r="GG144" s="324"/>
      <c r="GH144" s="324"/>
      <c r="GI144" s="324"/>
      <c r="GJ144" s="64"/>
      <c r="GK144" s="64"/>
      <c r="GL144" s="324"/>
      <c r="GM144" s="324"/>
      <c r="GN144" s="324"/>
      <c r="GO144" s="324"/>
      <c r="GP144" s="324"/>
      <c r="GQ144" s="324"/>
      <c r="GR144" s="324"/>
      <c r="GS144" s="324"/>
      <c r="GT144" s="324"/>
      <c r="HJ144" s="373"/>
      <c r="HK144" s="373"/>
      <c r="HL144" s="373"/>
    </row>
    <row r="145" spans="1:220" ht="12.75">
      <c r="A145" s="324"/>
      <c r="B145" s="324"/>
      <c r="C145" s="324"/>
      <c r="D145" s="324"/>
      <c r="E145" s="324"/>
      <c r="F145" s="324"/>
      <c r="G145" s="324"/>
      <c r="H145" s="324"/>
      <c r="I145" s="324"/>
      <c r="J145" s="324"/>
      <c r="K145" s="324"/>
      <c r="L145" s="324"/>
      <c r="M145" s="324"/>
      <c r="N145" s="324"/>
      <c r="O145" s="324"/>
      <c r="P145" s="324"/>
      <c r="Q145" s="324"/>
      <c r="R145" s="324"/>
      <c r="S145" s="324"/>
      <c r="T145" s="64"/>
      <c r="U145" s="64"/>
      <c r="V145" s="64"/>
      <c r="W145" s="64"/>
      <c r="X145" s="64"/>
      <c r="Y145" s="64"/>
      <c r="Z145" s="570"/>
      <c r="AA145" s="570"/>
      <c r="AB145" s="570"/>
      <c r="AC145" s="255"/>
      <c r="AD145" s="255"/>
      <c r="AE145" s="255"/>
      <c r="AF145" s="255"/>
      <c r="AG145" s="255"/>
      <c r="AH145" s="255"/>
      <c r="AI145" s="255"/>
      <c r="AJ145" s="255"/>
      <c r="AK145" s="570"/>
      <c r="AL145" s="570"/>
      <c r="AM145" s="570"/>
      <c r="AN145" s="570"/>
      <c r="AO145" s="391"/>
      <c r="AP145" s="391"/>
      <c r="AQ145" s="391"/>
      <c r="BX145" s="570"/>
      <c r="BY145" s="570"/>
      <c r="BZ145" s="570"/>
      <c r="CA145" s="570"/>
      <c r="CB145" s="570"/>
      <c r="CC145" s="570"/>
      <c r="CD145" s="391"/>
      <c r="CE145" s="570"/>
      <c r="CF145" s="570"/>
      <c r="CG145" s="570"/>
      <c r="CH145" s="570"/>
      <c r="CI145" s="570"/>
      <c r="CJ145" s="391"/>
      <c r="CK145" s="570"/>
      <c r="CL145" s="570"/>
      <c r="CM145" s="570"/>
      <c r="CN145" s="570"/>
      <c r="CO145" s="570"/>
      <c r="CP145" s="391"/>
      <c r="CQ145" s="570"/>
      <c r="CR145" s="570"/>
      <c r="CS145" s="570"/>
      <c r="CT145" s="570"/>
      <c r="CU145" s="570"/>
      <c r="CV145" s="391"/>
      <c r="CW145" s="570"/>
      <c r="CX145" s="570"/>
      <c r="CY145" s="570"/>
      <c r="CZ145" s="570"/>
      <c r="DA145" s="570"/>
      <c r="DB145" s="391"/>
      <c r="DC145" s="712"/>
      <c r="DD145" s="712"/>
      <c r="DE145" s="712"/>
      <c r="DF145" s="712"/>
      <c r="DG145" s="712"/>
      <c r="DH145" s="712"/>
      <c r="DI145" s="712"/>
      <c r="DJ145" s="671"/>
      <c r="DK145" s="671"/>
      <c r="DL145" s="728"/>
      <c r="DM145" s="729"/>
      <c r="DN145" s="671"/>
      <c r="DO145" s="935"/>
      <c r="DP145" s="935"/>
      <c r="DQ145" s="51"/>
      <c r="DR145" s="645"/>
      <c r="DS145" s="645"/>
      <c r="DT145" s="645"/>
      <c r="DU145" s="324"/>
      <c r="DV145" s="570"/>
      <c r="DW145" s="570"/>
      <c r="DX145" s="570"/>
      <c r="EO145" s="570"/>
      <c r="EP145" s="570"/>
      <c r="EQ145" s="570"/>
      <c r="ER145" s="570"/>
      <c r="ES145" s="391"/>
      <c r="ET145" s="570"/>
      <c r="EU145" s="570"/>
      <c r="EV145" s="570"/>
      <c r="EW145" s="570"/>
      <c r="EX145" s="570"/>
      <c r="EY145" s="570"/>
      <c r="EZ145" s="570"/>
      <c r="FA145" s="324"/>
      <c r="FB145" s="712"/>
      <c r="FC145" s="712"/>
      <c r="FD145" s="712"/>
      <c r="FE145" s="712"/>
      <c r="FF145" s="712"/>
      <c r="FG145" s="712"/>
      <c r="FH145" s="712"/>
      <c r="FI145" s="712"/>
      <c r="FJ145" s="712"/>
      <c r="FK145" s="712"/>
      <c r="FL145" s="712"/>
      <c r="FM145" s="712"/>
      <c r="FN145" s="712"/>
      <c r="FO145" s="712"/>
      <c r="FP145" s="712"/>
      <c r="FQ145" s="671"/>
      <c r="FR145" s="671"/>
      <c r="FS145" s="671"/>
      <c r="FT145" s="671"/>
      <c r="FU145" s="671"/>
      <c r="FV145" s="671"/>
      <c r="FW145" s="728"/>
      <c r="FX145" s="729"/>
      <c r="FY145" s="671"/>
      <c r="FZ145" s="935"/>
      <c r="GA145" s="935"/>
      <c r="GB145" s="51"/>
      <c r="GC145" s="645"/>
      <c r="GD145" s="645"/>
      <c r="GE145" s="645"/>
      <c r="GF145" s="324"/>
      <c r="GG145" s="324"/>
      <c r="GH145" s="324"/>
      <c r="GI145" s="324"/>
      <c r="GJ145" s="64"/>
      <c r="GK145" s="64"/>
      <c r="GL145" s="324"/>
      <c r="GM145" s="324"/>
      <c r="GN145" s="324"/>
      <c r="GO145" s="324"/>
      <c r="GP145" s="324"/>
      <c r="GQ145" s="324"/>
      <c r="GR145" s="324"/>
      <c r="GS145" s="324"/>
      <c r="GT145" s="324"/>
      <c r="HG145" s="55"/>
      <c r="HH145" s="55"/>
      <c r="HI145" s="55"/>
      <c r="HJ145" s="55"/>
      <c r="HK145" s="55"/>
      <c r="HL145" s="55"/>
    </row>
    <row r="146" spans="2:202" ht="12.75">
      <c r="B146" s="324"/>
      <c r="C146" s="324"/>
      <c r="D146" s="324"/>
      <c r="E146" s="324"/>
      <c r="F146" s="324"/>
      <c r="G146" s="324"/>
      <c r="H146" s="324"/>
      <c r="I146" s="324"/>
      <c r="J146" s="324"/>
      <c r="K146" s="324"/>
      <c r="L146" s="324"/>
      <c r="M146" s="324"/>
      <c r="N146" s="324"/>
      <c r="O146" s="324"/>
      <c r="BX146" s="570"/>
      <c r="BY146" s="570"/>
      <c r="BZ146" s="570"/>
      <c r="CA146" s="570"/>
      <c r="CB146" s="570"/>
      <c r="CC146" s="570"/>
      <c r="CD146" s="391"/>
      <c r="CE146" s="570"/>
      <c r="CF146" s="570"/>
      <c r="CG146" s="570"/>
      <c r="CH146" s="570"/>
      <c r="CI146" s="570"/>
      <c r="CJ146" s="391"/>
      <c r="CK146" s="570"/>
      <c r="CL146" s="570"/>
      <c r="CM146" s="570"/>
      <c r="CN146" s="570"/>
      <c r="CO146" s="570"/>
      <c r="CP146" s="391"/>
      <c r="CQ146" s="570"/>
      <c r="CR146" s="570"/>
      <c r="CS146" s="570"/>
      <c r="CT146" s="570"/>
      <c r="CU146" s="570"/>
      <c r="CV146" s="391"/>
      <c r="CW146" s="570"/>
      <c r="CX146" s="570"/>
      <c r="CY146" s="570"/>
      <c r="CZ146" s="570"/>
      <c r="DA146" s="570"/>
      <c r="DB146" s="391"/>
      <c r="DC146" s="324"/>
      <c r="DD146" s="324"/>
      <c r="DE146" s="324"/>
      <c r="DF146" s="324"/>
      <c r="DG146" s="324"/>
      <c r="DH146" s="324"/>
      <c r="DI146" s="324"/>
      <c r="DJ146" s="671"/>
      <c r="DK146" s="671"/>
      <c r="DL146" s="730"/>
      <c r="DM146" s="671"/>
      <c r="DN146" s="671"/>
      <c r="DO146" s="671"/>
      <c r="DP146" s="671"/>
      <c r="DQ146" s="324"/>
      <c r="DR146" s="324"/>
      <c r="DS146" s="324"/>
      <c r="DT146" s="324"/>
      <c r="DU146" s="324"/>
      <c r="DV146" s="570"/>
      <c r="DW146" s="570"/>
      <c r="DX146" s="570"/>
      <c r="EO146" s="570"/>
      <c r="EP146" s="570"/>
      <c r="EQ146" s="570"/>
      <c r="ER146" s="570"/>
      <c r="ES146" s="391"/>
      <c r="ET146" s="570"/>
      <c r="EU146" s="570"/>
      <c r="EV146" s="570"/>
      <c r="EW146" s="570"/>
      <c r="EX146" s="570"/>
      <c r="EY146" s="570"/>
      <c r="EZ146" s="570"/>
      <c r="FA146" s="324"/>
      <c r="FB146" s="324"/>
      <c r="FC146" s="324"/>
      <c r="FD146" s="324"/>
      <c r="FE146" s="324"/>
      <c r="FF146" s="324"/>
      <c r="FG146" s="324"/>
      <c r="FH146" s="324"/>
      <c r="FI146" s="324"/>
      <c r="FJ146" s="324"/>
      <c r="FK146" s="324"/>
      <c r="FL146" s="324"/>
      <c r="FM146" s="324"/>
      <c r="FN146" s="324"/>
      <c r="FO146" s="324"/>
      <c r="FP146" s="324"/>
      <c r="FQ146" s="671"/>
      <c r="FR146" s="671"/>
      <c r="FS146" s="671"/>
      <c r="FT146" s="671"/>
      <c r="FU146" s="671"/>
      <c r="FV146" s="671"/>
      <c r="FW146" s="730"/>
      <c r="FX146" s="671"/>
      <c r="FY146" s="671"/>
      <c r="FZ146" s="671"/>
      <c r="GA146" s="671"/>
      <c r="GB146" s="324"/>
      <c r="GC146" s="324"/>
      <c r="GD146" s="324"/>
      <c r="GE146" s="324"/>
      <c r="GF146" s="324"/>
      <c r="GG146" s="324"/>
      <c r="GH146" s="324"/>
      <c r="GI146" s="324"/>
      <c r="GJ146" s="64"/>
      <c r="GK146" s="64"/>
      <c r="GL146" s="324"/>
      <c r="GM146" s="324"/>
      <c r="GN146" s="324"/>
      <c r="GO146" s="324"/>
      <c r="GP146" s="324"/>
      <c r="GQ146" s="324"/>
      <c r="GR146" s="324"/>
      <c r="GS146" s="324"/>
      <c r="GT146" s="324"/>
    </row>
    <row r="147" spans="2:125" ht="12.75">
      <c r="B147" s="324"/>
      <c r="C147" s="324"/>
      <c r="D147" s="324"/>
      <c r="E147" s="324"/>
      <c r="F147" s="324"/>
      <c r="G147" s="324"/>
      <c r="H147" s="324"/>
      <c r="I147" s="324"/>
      <c r="J147" s="324"/>
      <c r="K147" s="324"/>
      <c r="L147" s="324"/>
      <c r="M147" s="324"/>
      <c r="N147" s="324"/>
      <c r="O147" s="324"/>
      <c r="BF147" s="288"/>
      <c r="BG147" s="288"/>
      <c r="BH147" s="288"/>
      <c r="BI147" s="288"/>
      <c r="BJ147" s="288"/>
      <c r="BM147" s="288"/>
      <c r="BN147" s="288"/>
      <c r="BO147" s="288"/>
      <c r="BP147" s="288"/>
      <c r="BQ147" s="288"/>
      <c r="BR147" s="288"/>
      <c r="BS147" s="288"/>
      <c r="BT147" s="391"/>
      <c r="BU147" s="288"/>
      <c r="BV147" s="288"/>
      <c r="BW147" s="288"/>
      <c r="BX147" s="288"/>
      <c r="BY147" s="288"/>
      <c r="BZ147" s="391"/>
      <c r="DC147" s="33"/>
      <c r="DD147" s="33"/>
      <c r="DE147" s="33"/>
      <c r="DF147" s="33"/>
      <c r="DG147" s="33"/>
      <c r="DH147" s="33"/>
      <c r="DI147" s="33"/>
      <c r="DJ147" s="33"/>
      <c r="DK147" s="33"/>
      <c r="DL147" s="33"/>
      <c r="DM147" s="33"/>
      <c r="DN147" s="33"/>
      <c r="DO147" s="33"/>
      <c r="DP147" s="33"/>
      <c r="DQ147" s="33"/>
      <c r="DR147" s="33"/>
      <c r="DS147" s="33"/>
      <c r="DT147" s="33"/>
      <c r="DU147" s="33"/>
    </row>
    <row r="148" spans="58:78" ht="12.75">
      <c r="BF148" s="288"/>
      <c r="BG148" s="288"/>
      <c r="BH148" s="288"/>
      <c r="BI148" s="288"/>
      <c r="BJ148" s="288"/>
      <c r="BM148" s="288"/>
      <c r="BN148" s="288"/>
      <c r="BO148" s="288"/>
      <c r="BP148" s="288"/>
      <c r="BQ148" s="288"/>
      <c r="BR148" s="288"/>
      <c r="BS148" s="288"/>
      <c r="BT148" s="391"/>
      <c r="BU148" s="288"/>
      <c r="BV148" s="288"/>
      <c r="BW148" s="288"/>
      <c r="BX148" s="288"/>
      <c r="BY148" s="288"/>
      <c r="BZ148" s="391"/>
    </row>
    <row r="149" spans="58:78" ht="12.75">
      <c r="BF149" s="288"/>
      <c r="BG149" s="288"/>
      <c r="BH149" s="288"/>
      <c r="BI149" s="288"/>
      <c r="BJ149" s="288"/>
      <c r="BM149" s="288"/>
      <c r="BN149" s="288"/>
      <c r="BO149" s="288"/>
      <c r="BP149" s="288"/>
      <c r="BQ149" s="288"/>
      <c r="BR149" s="288"/>
      <c r="BS149" s="288"/>
      <c r="BT149" s="391"/>
      <c r="BU149" s="288"/>
      <c r="BV149" s="288"/>
      <c r="BW149" s="288"/>
      <c r="BX149" s="288"/>
      <c r="BY149" s="288"/>
      <c r="BZ149" s="391"/>
    </row>
    <row r="150" spans="58:78" ht="12.75">
      <c r="BF150" s="288"/>
      <c r="BG150" s="288"/>
      <c r="BH150" s="288"/>
      <c r="BI150" s="288"/>
      <c r="BJ150" s="288"/>
      <c r="BM150" s="288"/>
      <c r="BN150" s="288"/>
      <c r="BO150" s="288"/>
      <c r="BP150" s="288"/>
      <c r="BQ150" s="288"/>
      <c r="BR150" s="288"/>
      <c r="BS150" s="288"/>
      <c r="BT150" s="391"/>
      <c r="BU150" s="288"/>
      <c r="BV150" s="288"/>
      <c r="BW150" s="288"/>
      <c r="BX150" s="288"/>
      <c r="BY150" s="288"/>
      <c r="BZ150" s="391"/>
    </row>
    <row r="198" spans="1:19" ht="12.75">
      <c r="A198" s="290"/>
      <c r="B198" s="290"/>
      <c r="C198" s="290"/>
      <c r="D198" s="290"/>
      <c r="E198" s="290"/>
      <c r="F198" s="290"/>
      <c r="G198" s="290"/>
      <c r="H198" s="290"/>
      <c r="I198" s="290"/>
      <c r="J198" s="290"/>
      <c r="K198" s="290"/>
      <c r="L198" s="290"/>
      <c r="M198" s="290"/>
      <c r="N198" s="290"/>
      <c r="O198" s="290"/>
      <c r="P198" s="290"/>
      <c r="Q198" s="290"/>
      <c r="R198" s="290"/>
      <c r="S198" s="290"/>
    </row>
    <row r="199" spans="1:20" ht="12.75">
      <c r="A199" s="290"/>
      <c r="B199" s="290"/>
      <c r="C199" s="290"/>
      <c r="D199" s="290"/>
      <c r="E199" s="290"/>
      <c r="F199" s="290"/>
      <c r="G199" s="290"/>
      <c r="H199" s="290"/>
      <c r="I199" s="290"/>
      <c r="J199" s="290"/>
      <c r="K199" s="290"/>
      <c r="L199" s="290"/>
      <c r="M199" s="290"/>
      <c r="N199" s="290"/>
      <c r="O199" s="290"/>
      <c r="P199" s="290"/>
      <c r="Q199" s="279"/>
      <c r="R199" s="279"/>
      <c r="S199" s="279"/>
      <c r="T199" s="279"/>
    </row>
    <row r="200" spans="1:20" ht="12.75">
      <c r="A200" s="290"/>
      <c r="B200" s="290"/>
      <c r="C200" s="290"/>
      <c r="D200" s="290"/>
      <c r="E200" s="290"/>
      <c r="F200" s="290"/>
      <c r="G200" s="290"/>
      <c r="H200" s="290"/>
      <c r="I200" s="290"/>
      <c r="J200" s="290"/>
      <c r="K200" s="290"/>
      <c r="L200" s="290"/>
      <c r="M200" s="290"/>
      <c r="N200" s="290"/>
      <c r="O200" s="290"/>
      <c r="P200" s="290"/>
      <c r="Q200" s="279"/>
      <c r="R200" s="279"/>
      <c r="S200" s="279"/>
      <c r="T200" s="279"/>
    </row>
    <row r="201" spans="1:20" ht="12.75">
      <c r="A201" s="290"/>
      <c r="B201" s="290"/>
      <c r="C201" s="290"/>
      <c r="D201" s="290"/>
      <c r="E201" s="290"/>
      <c r="F201" s="290"/>
      <c r="G201" s="290"/>
      <c r="H201" s="290"/>
      <c r="I201" s="290"/>
      <c r="J201" s="290"/>
      <c r="K201" s="290"/>
      <c r="L201" s="290"/>
      <c r="M201" s="290"/>
      <c r="N201" s="290"/>
      <c r="O201" s="290"/>
      <c r="P201" s="290"/>
      <c r="Q201" s="279"/>
      <c r="R201" s="279"/>
      <c r="S201" s="279"/>
      <c r="T201" s="279"/>
    </row>
    <row r="202" spans="1:20" ht="12.75">
      <c r="A202" s="290"/>
      <c r="B202" s="290"/>
      <c r="C202" s="290"/>
      <c r="D202" s="290"/>
      <c r="E202" s="290"/>
      <c r="F202" s="290"/>
      <c r="G202" s="290"/>
      <c r="H202" s="290"/>
      <c r="I202" s="290"/>
      <c r="J202" s="290"/>
      <c r="K202" s="290"/>
      <c r="L202" s="290"/>
      <c r="M202" s="290"/>
      <c r="N202" s="290"/>
      <c r="O202" s="290"/>
      <c r="P202" s="290"/>
      <c r="Q202" s="279"/>
      <c r="R202" s="279"/>
      <c r="S202" s="279"/>
      <c r="T202" s="279"/>
    </row>
    <row r="203" spans="1:20" ht="12.75">
      <c r="A203" s="290"/>
      <c r="B203" s="290"/>
      <c r="C203" s="290"/>
      <c r="D203" s="290"/>
      <c r="E203" s="290"/>
      <c r="F203" s="290"/>
      <c r="G203" s="290"/>
      <c r="H203" s="290"/>
      <c r="I203" s="290"/>
      <c r="J203" s="290"/>
      <c r="K203" s="290"/>
      <c r="L203" s="290"/>
      <c r="M203" s="290"/>
      <c r="N203" s="290"/>
      <c r="O203" s="290"/>
      <c r="P203" s="290"/>
      <c r="Q203" s="279"/>
      <c r="R203" s="279"/>
      <c r="S203" s="279"/>
      <c r="T203" s="279"/>
    </row>
    <row r="204" spans="1:20" ht="12.75">
      <c r="A204" s="290"/>
      <c r="B204" s="290"/>
      <c r="C204" s="290"/>
      <c r="D204" s="290"/>
      <c r="E204" s="290"/>
      <c r="F204" s="290"/>
      <c r="G204" s="290"/>
      <c r="H204" s="290"/>
      <c r="I204" s="290"/>
      <c r="J204" s="290"/>
      <c r="K204" s="290"/>
      <c r="L204" s="290"/>
      <c r="M204" s="290"/>
      <c r="N204" s="290"/>
      <c r="O204" s="290"/>
      <c r="P204" s="290"/>
      <c r="Q204" s="279"/>
      <c r="R204" s="279"/>
      <c r="S204" s="279"/>
      <c r="T204" s="279"/>
    </row>
    <row r="205" spans="1:20" ht="12.75">
      <c r="A205" s="290"/>
      <c r="B205" s="290"/>
      <c r="C205" s="290"/>
      <c r="D205" s="290"/>
      <c r="E205" s="290"/>
      <c r="F205" s="290"/>
      <c r="G205" s="290"/>
      <c r="H205" s="290"/>
      <c r="I205" s="290"/>
      <c r="J205" s="290"/>
      <c r="K205" s="290"/>
      <c r="L205" s="290"/>
      <c r="M205" s="290"/>
      <c r="N205" s="290"/>
      <c r="O205" s="290"/>
      <c r="P205" s="290"/>
      <c r="Q205" s="279"/>
      <c r="R205" s="279"/>
      <c r="S205" s="279"/>
      <c r="T205" s="279"/>
    </row>
    <row r="206" spans="1:20" ht="12.75">
      <c r="A206" s="290"/>
      <c r="B206" s="290"/>
      <c r="C206" s="290"/>
      <c r="D206" s="290"/>
      <c r="E206" s="290"/>
      <c r="F206" s="290"/>
      <c r="G206" s="290"/>
      <c r="H206" s="290"/>
      <c r="I206" s="290"/>
      <c r="J206" s="290"/>
      <c r="K206" s="290"/>
      <c r="L206" s="290"/>
      <c r="M206" s="290"/>
      <c r="N206" s="290"/>
      <c r="O206" s="290"/>
      <c r="P206" s="290"/>
      <c r="Q206" s="279"/>
      <c r="R206" s="279"/>
      <c r="S206" s="279"/>
      <c r="T206" s="279"/>
    </row>
    <row r="207" spans="1:20" ht="12.75">
      <c r="A207" s="290"/>
      <c r="B207" s="290"/>
      <c r="C207" s="290"/>
      <c r="D207" s="290"/>
      <c r="E207" s="290"/>
      <c r="F207" s="290"/>
      <c r="G207" s="290"/>
      <c r="H207" s="290"/>
      <c r="I207" s="290"/>
      <c r="J207" s="290"/>
      <c r="K207" s="290"/>
      <c r="L207" s="290"/>
      <c r="M207" s="290"/>
      <c r="N207" s="290"/>
      <c r="O207" s="290"/>
      <c r="P207" s="290"/>
      <c r="Q207" s="279"/>
      <c r="R207" s="279"/>
      <c r="S207" s="279"/>
      <c r="T207" s="279"/>
    </row>
    <row r="208" spans="1:19" ht="12.75">
      <c r="A208" s="290"/>
      <c r="B208" s="290"/>
      <c r="C208" s="290"/>
      <c r="D208" s="290"/>
      <c r="E208" s="290"/>
      <c r="F208" s="290"/>
      <c r="G208" s="290"/>
      <c r="H208" s="290"/>
      <c r="I208" s="290"/>
      <c r="J208" s="290"/>
      <c r="K208" s="290"/>
      <c r="L208" s="290"/>
      <c r="M208" s="290"/>
      <c r="N208" s="290"/>
      <c r="O208" s="290"/>
      <c r="P208" s="290"/>
      <c r="Q208" s="290"/>
      <c r="R208" s="290"/>
      <c r="S208" s="290"/>
    </row>
    <row r="209" spans="1:19" ht="12.75" customHeight="1">
      <c r="A209" s="290"/>
      <c r="B209" s="279"/>
      <c r="C209" s="279"/>
      <c r="D209" s="290"/>
      <c r="E209" s="290"/>
      <c r="F209" s="279"/>
      <c r="G209" s="279"/>
      <c r="H209" s="279"/>
      <c r="I209" s="279"/>
      <c r="J209" s="290"/>
      <c r="K209" s="290"/>
      <c r="L209" s="290"/>
      <c r="M209" s="279"/>
      <c r="N209" s="279"/>
      <c r="O209" s="290"/>
      <c r="P209" s="290"/>
      <c r="Q209" s="290"/>
      <c r="R209" s="290"/>
      <c r="S209" s="290"/>
    </row>
    <row r="210" spans="1:19" ht="12.75">
      <c r="A210" s="290"/>
      <c r="B210" s="279"/>
      <c r="C210" s="279"/>
      <c r="D210" s="290"/>
      <c r="E210" s="290"/>
      <c r="F210" s="279"/>
      <c r="G210" s="279"/>
      <c r="H210" s="279"/>
      <c r="I210" s="279"/>
      <c r="J210" s="290"/>
      <c r="K210" s="290"/>
      <c r="L210" s="290"/>
      <c r="M210" s="279"/>
      <c r="N210" s="279"/>
      <c r="O210" s="290"/>
      <c r="P210" s="290"/>
      <c r="Q210" s="290"/>
      <c r="R210" s="290"/>
      <c r="S210" s="290"/>
    </row>
    <row r="211" spans="1:19" ht="12.75">
      <c r="A211" s="290"/>
      <c r="B211" s="248"/>
      <c r="C211" s="248"/>
      <c r="D211" s="290"/>
      <c r="E211" s="290"/>
      <c r="F211" s="290"/>
      <c r="G211" s="290"/>
      <c r="H211" s="290"/>
      <c r="I211" s="290"/>
      <c r="J211" s="290"/>
      <c r="K211" s="290"/>
      <c r="L211" s="290"/>
      <c r="M211" s="290"/>
      <c r="N211" s="290"/>
      <c r="O211" s="290"/>
      <c r="P211" s="290"/>
      <c r="Q211" s="290"/>
      <c r="R211" s="290"/>
      <c r="S211" s="290"/>
    </row>
    <row r="212" spans="1:19" ht="12.75">
      <c r="A212" s="290"/>
      <c r="B212" s="939"/>
      <c r="C212" s="248"/>
      <c r="D212" s="290"/>
      <c r="E212" s="290"/>
      <c r="F212" s="939"/>
      <c r="G212" s="290"/>
      <c r="H212" s="290"/>
      <c r="I212" s="290"/>
      <c r="J212" s="290"/>
      <c r="K212" s="940"/>
      <c r="L212" s="290"/>
      <c r="M212" s="941"/>
      <c r="N212" s="290"/>
      <c r="O212" s="942"/>
      <c r="P212" s="290"/>
      <c r="Q212" s="943"/>
      <c r="R212" s="943"/>
      <c r="S212" s="290"/>
    </row>
    <row r="213" spans="1:19" ht="12.75">
      <c r="A213" s="290"/>
      <c r="B213" s="939"/>
      <c r="C213" s="248"/>
      <c r="D213" s="290"/>
      <c r="E213" s="290"/>
      <c r="F213" s="942"/>
      <c r="G213" s="290"/>
      <c r="H213" s="290"/>
      <c r="I213" s="290"/>
      <c r="J213" s="290"/>
      <c r="K213" s="941"/>
      <c r="L213" s="290"/>
      <c r="M213" s="940"/>
      <c r="N213" s="290"/>
      <c r="O213" s="942"/>
      <c r="P213" s="290"/>
      <c r="Q213" s="943"/>
      <c r="R213" s="943"/>
      <c r="S213" s="290"/>
    </row>
    <row r="214" spans="1:19" ht="12.75">
      <c r="A214" s="290"/>
      <c r="B214" s="939"/>
      <c r="C214" s="248"/>
      <c r="D214" s="290"/>
      <c r="E214" s="290"/>
      <c r="F214" s="942"/>
      <c r="G214" s="290"/>
      <c r="H214" s="290"/>
      <c r="I214" s="290"/>
      <c r="J214" s="290"/>
      <c r="K214" s="940"/>
      <c r="L214" s="290"/>
      <c r="M214" s="940"/>
      <c r="N214" s="290"/>
      <c r="O214" s="942"/>
      <c r="P214" s="290"/>
      <c r="Q214" s="943"/>
      <c r="R214" s="943"/>
      <c r="S214" s="290"/>
    </row>
    <row r="215" spans="1:19" ht="12.75">
      <c r="A215" s="290"/>
      <c r="B215" s="939"/>
      <c r="C215" s="248"/>
      <c r="D215" s="290"/>
      <c r="E215" s="290"/>
      <c r="F215" s="290"/>
      <c r="G215" s="290"/>
      <c r="H215" s="290"/>
      <c r="I215" s="290"/>
      <c r="J215" s="290"/>
      <c r="K215" s="940"/>
      <c r="L215" s="290"/>
      <c r="M215" s="940"/>
      <c r="N215" s="290"/>
      <c r="O215" s="942"/>
      <c r="P215" s="290"/>
      <c r="Q215" s="290"/>
      <c r="R215" s="290"/>
      <c r="S215" s="290"/>
    </row>
    <row r="216" spans="1:19" ht="12.75">
      <c r="A216" s="290"/>
      <c r="B216" s="939"/>
      <c r="C216" s="248"/>
      <c r="D216" s="290"/>
      <c r="E216" s="290"/>
      <c r="F216" s="279"/>
      <c r="G216" s="279"/>
      <c r="H216" s="279"/>
      <c r="I216" s="279"/>
      <c r="J216" s="290"/>
      <c r="K216" s="942"/>
      <c r="L216" s="290"/>
      <c r="M216" s="940"/>
      <c r="N216" s="290"/>
      <c r="O216" s="942"/>
      <c r="P216" s="290"/>
      <c r="Q216" s="290"/>
      <c r="R216" s="290"/>
      <c r="S216" s="290"/>
    </row>
    <row r="217" spans="1:19" ht="12.75">
      <c r="A217" s="290"/>
      <c r="B217" s="939"/>
      <c r="C217" s="290"/>
      <c r="D217" s="290"/>
      <c r="E217" s="290"/>
      <c r="F217" s="279"/>
      <c r="G217" s="279"/>
      <c r="H217" s="279"/>
      <c r="I217" s="279"/>
      <c r="J217" s="290"/>
      <c r="K217" s="942"/>
      <c r="L217" s="290"/>
      <c r="M217" s="940"/>
      <c r="N217" s="290"/>
      <c r="O217" s="942"/>
      <c r="P217" s="290"/>
      <c r="Q217" s="290"/>
      <c r="R217" s="290"/>
      <c r="S217" s="290"/>
    </row>
    <row r="218" spans="1:19" ht="12.75">
      <c r="A218" s="290"/>
      <c r="B218" s="942"/>
      <c r="C218" s="290"/>
      <c r="D218" s="290"/>
      <c r="E218" s="290"/>
      <c r="F218" s="279"/>
      <c r="G218" s="279"/>
      <c r="H218" s="279"/>
      <c r="I218" s="279"/>
      <c r="J218" s="290"/>
      <c r="K218" s="942"/>
      <c r="L218" s="290"/>
      <c r="M218" s="942"/>
      <c r="N218" s="290"/>
      <c r="O218" s="290"/>
      <c r="P218" s="290"/>
      <c r="Q218" s="290"/>
      <c r="R218" s="290"/>
      <c r="S218" s="290"/>
    </row>
    <row r="219" spans="1:19" ht="12.75" customHeight="1">
      <c r="A219" s="290"/>
      <c r="B219" s="944"/>
      <c r="C219" s="944"/>
      <c r="D219" s="290"/>
      <c r="E219" s="290"/>
      <c r="F219" s="279"/>
      <c r="G219" s="279"/>
      <c r="H219" s="279"/>
      <c r="I219" s="279"/>
      <c r="J219" s="290"/>
      <c r="K219" s="942"/>
      <c r="L219" s="290"/>
      <c r="M219" s="942"/>
      <c r="N219" s="290"/>
      <c r="O219" s="290"/>
      <c r="P219" s="290"/>
      <c r="Q219" s="290"/>
      <c r="R219" s="290"/>
      <c r="S219" s="290"/>
    </row>
    <row r="220" spans="1:19" ht="12.75">
      <c r="A220" s="290"/>
      <c r="B220" s="944"/>
      <c r="C220" s="944"/>
      <c r="D220" s="290"/>
      <c r="E220" s="290"/>
      <c r="F220" s="279"/>
      <c r="G220" s="279"/>
      <c r="H220" s="279"/>
      <c r="I220" s="279"/>
      <c r="J220" s="290"/>
      <c r="K220" s="290"/>
      <c r="L220" s="290"/>
      <c r="M220" s="290"/>
      <c r="N220" s="290"/>
      <c r="O220" s="290"/>
      <c r="P220" s="290"/>
      <c r="Q220" s="290"/>
      <c r="R220" s="290"/>
      <c r="S220" s="290"/>
    </row>
    <row r="221" spans="1:19" ht="12.75">
      <c r="A221" s="290"/>
      <c r="B221" s="944"/>
      <c r="C221" s="944"/>
      <c r="D221" s="290"/>
      <c r="E221" s="290"/>
      <c r="F221" s="279"/>
      <c r="G221" s="279"/>
      <c r="H221" s="279"/>
      <c r="I221" s="279"/>
      <c r="J221" s="290"/>
      <c r="K221" s="290"/>
      <c r="L221" s="290"/>
      <c r="M221" s="290"/>
      <c r="N221" s="290"/>
      <c r="O221" s="290"/>
      <c r="P221" s="290"/>
      <c r="Q221" s="290"/>
      <c r="R221" s="290"/>
      <c r="S221" s="290"/>
    </row>
    <row r="222" spans="1:19" ht="12.75">
      <c r="A222" s="290"/>
      <c r="B222" s="944"/>
      <c r="C222" s="944"/>
      <c r="D222" s="290"/>
      <c r="E222" s="290"/>
      <c r="F222" s="279"/>
      <c r="G222" s="279"/>
      <c r="H222" s="279"/>
      <c r="I222" s="279"/>
      <c r="J222" s="290"/>
      <c r="K222" s="290"/>
      <c r="L222" s="290"/>
      <c r="M222" s="290"/>
      <c r="N222" s="290"/>
      <c r="O222" s="290"/>
      <c r="P222" s="290"/>
      <c r="Q222" s="290"/>
      <c r="R222" s="290"/>
      <c r="S222" s="290"/>
    </row>
    <row r="223" spans="1:19" ht="12.75">
      <c r="A223" s="290"/>
      <c r="B223" s="944"/>
      <c r="C223" s="944"/>
      <c r="D223" s="290"/>
      <c r="E223" s="290"/>
      <c r="F223" s="290"/>
      <c r="G223" s="290"/>
      <c r="H223" s="290"/>
      <c r="I223" s="290"/>
      <c r="J223" s="290"/>
      <c r="K223" s="34"/>
      <c r="L223" s="34"/>
      <c r="M223" s="248"/>
      <c r="N223" s="290"/>
      <c r="O223" s="290"/>
      <c r="P223" s="34"/>
      <c r="Q223" s="34"/>
      <c r="R223" s="290"/>
      <c r="S223" s="290"/>
    </row>
    <row r="224" spans="1:19" ht="12.75">
      <c r="A224" s="290"/>
      <c r="B224" s="944"/>
      <c r="C224" s="944"/>
      <c r="D224" s="290"/>
      <c r="E224" s="290"/>
      <c r="F224" s="290"/>
      <c r="G224" s="290"/>
      <c r="H224" s="290"/>
      <c r="I224" s="290"/>
      <c r="J224" s="290"/>
      <c r="K224" s="34"/>
      <c r="L224" s="34"/>
      <c r="M224" s="34"/>
      <c r="N224" s="290"/>
      <c r="O224" s="290"/>
      <c r="P224" s="290"/>
      <c r="Q224" s="290"/>
      <c r="R224" s="290"/>
      <c r="S224" s="290"/>
    </row>
    <row r="225" spans="1:19" ht="12.75">
      <c r="A225" s="290"/>
      <c r="B225" s="944"/>
      <c r="C225" s="944"/>
      <c r="D225" s="290"/>
      <c r="E225" s="290"/>
      <c r="F225" s="290"/>
      <c r="G225" s="290"/>
      <c r="H225" s="290"/>
      <c r="I225" s="290"/>
      <c r="J225" s="290"/>
      <c r="K225" s="491"/>
      <c r="L225" s="34"/>
      <c r="M225" s="940"/>
      <c r="N225" s="290"/>
      <c r="O225" s="942"/>
      <c r="P225" s="290"/>
      <c r="Q225" s="290"/>
      <c r="R225" s="290"/>
      <c r="S225" s="290"/>
    </row>
    <row r="226" spans="1:19" ht="12.75">
      <c r="A226" s="290"/>
      <c r="B226" s="290"/>
      <c r="C226" s="290"/>
      <c r="D226" s="290"/>
      <c r="E226" s="290"/>
      <c r="F226" s="290"/>
      <c r="G226" s="290"/>
      <c r="H226" s="290"/>
      <c r="I226" s="290"/>
      <c r="J226" s="290"/>
      <c r="K226" s="491"/>
      <c r="L226" s="34"/>
      <c r="M226" s="940"/>
      <c r="N226" s="290"/>
      <c r="O226" s="945"/>
      <c r="P226" s="290"/>
      <c r="Q226" s="290"/>
      <c r="R226" s="290"/>
      <c r="S226" s="290"/>
    </row>
    <row r="227" spans="1:19" ht="12.75">
      <c r="A227" s="290"/>
      <c r="B227" s="290"/>
      <c r="C227" s="290"/>
      <c r="D227" s="290"/>
      <c r="E227" s="290"/>
      <c r="F227" s="290"/>
      <c r="G227" s="290"/>
      <c r="H227" s="290"/>
      <c r="I227" s="290"/>
      <c r="J227" s="290"/>
      <c r="K227" s="491"/>
      <c r="L227" s="34"/>
      <c r="M227" s="940"/>
      <c r="N227" s="290"/>
      <c r="O227" s="942"/>
      <c r="P227" s="290"/>
      <c r="Q227" s="290"/>
      <c r="R227" s="290"/>
      <c r="S227" s="290"/>
    </row>
    <row r="228" spans="1:19" ht="12.75">
      <c r="A228" s="290"/>
      <c r="B228" s="290"/>
      <c r="C228" s="290"/>
      <c r="D228" s="290"/>
      <c r="E228" s="290"/>
      <c r="F228" s="290"/>
      <c r="G228" s="290"/>
      <c r="H228" s="290"/>
      <c r="I228" s="290"/>
      <c r="J228" s="290"/>
      <c r="K228" s="491"/>
      <c r="L228" s="290"/>
      <c r="M228" s="940"/>
      <c r="N228" s="290"/>
      <c r="O228" s="290"/>
      <c r="P228" s="290"/>
      <c r="Q228" s="290"/>
      <c r="R228" s="290"/>
      <c r="S228" s="290"/>
    </row>
    <row r="229" spans="1:19" ht="12.75">
      <c r="A229" s="290"/>
      <c r="B229" s="290"/>
      <c r="C229" s="290"/>
      <c r="D229" s="290"/>
      <c r="E229" s="290"/>
      <c r="F229" s="290"/>
      <c r="G229" s="290"/>
      <c r="H229" s="290"/>
      <c r="I229" s="290"/>
      <c r="J229" s="290"/>
      <c r="K229" s="290"/>
      <c r="L229" s="290"/>
      <c r="M229" s="290"/>
      <c r="N229" s="290"/>
      <c r="O229" s="290"/>
      <c r="P229" s="290"/>
      <c r="Q229" s="290"/>
      <c r="R229" s="290"/>
      <c r="S229" s="290"/>
    </row>
    <row r="230" spans="1:19" ht="12.75">
      <c r="A230" s="290"/>
      <c r="B230" s="290"/>
      <c r="C230" s="290"/>
      <c r="D230" s="290"/>
      <c r="E230" s="290"/>
      <c r="F230" s="290"/>
      <c r="G230" s="290"/>
      <c r="H230" s="290"/>
      <c r="I230" s="290"/>
      <c r="J230" s="290"/>
      <c r="K230" s="290"/>
      <c r="L230" s="290"/>
      <c r="M230" s="290"/>
      <c r="N230" s="290"/>
      <c r="O230" s="290"/>
      <c r="P230" s="290"/>
      <c r="Q230" s="290"/>
      <c r="R230" s="290"/>
      <c r="S230" s="290"/>
    </row>
    <row r="231" spans="1:19" ht="12.75">
      <c r="A231" s="290"/>
      <c r="B231" s="290"/>
      <c r="C231" s="290"/>
      <c r="D231" s="290"/>
      <c r="E231" s="290"/>
      <c r="F231" s="290"/>
      <c r="G231" s="290"/>
      <c r="H231" s="290"/>
      <c r="I231" s="290"/>
      <c r="J231" s="290"/>
      <c r="K231" s="290"/>
      <c r="L231" s="290"/>
      <c r="M231" s="290"/>
      <c r="N231" s="290"/>
      <c r="O231" s="290"/>
      <c r="P231" s="290"/>
      <c r="Q231" s="290"/>
      <c r="R231" s="290"/>
      <c r="S231" s="290"/>
    </row>
    <row r="232" spans="1:19" ht="12.75">
      <c r="A232" s="290"/>
      <c r="B232" s="290"/>
      <c r="C232" s="290"/>
      <c r="D232" s="290"/>
      <c r="E232" s="290"/>
      <c r="F232" s="290"/>
      <c r="G232" s="290"/>
      <c r="H232" s="290"/>
      <c r="I232" s="290"/>
      <c r="J232" s="290"/>
      <c r="K232" s="290"/>
      <c r="L232" s="290"/>
      <c r="M232" s="290"/>
      <c r="N232" s="290"/>
      <c r="O232" s="290"/>
      <c r="P232" s="290"/>
      <c r="Q232" s="290"/>
      <c r="R232" s="290"/>
      <c r="S232" s="290"/>
    </row>
    <row r="233" spans="1:19" ht="12.75">
      <c r="A233" s="290"/>
      <c r="B233" s="290"/>
      <c r="C233" s="290"/>
      <c r="D233" s="290"/>
      <c r="E233" s="290"/>
      <c r="F233" s="290"/>
      <c r="G233" s="290"/>
      <c r="H233" s="290"/>
      <c r="I233" s="290"/>
      <c r="J233" s="290"/>
      <c r="K233" s="290"/>
      <c r="L233" s="290"/>
      <c r="M233" s="290"/>
      <c r="N233" s="290"/>
      <c r="O233" s="290"/>
      <c r="P233" s="290"/>
      <c r="Q233" s="290"/>
      <c r="R233" s="290"/>
      <c r="S233" s="290"/>
    </row>
  </sheetData>
  <sheetProtection/>
  <mergeCells count="192">
    <mergeCell ref="CA55:CD55"/>
    <mergeCell ref="CM91:CR91"/>
    <mergeCell ref="CS91:CT91"/>
    <mergeCell ref="CV91:CW91"/>
    <mergeCell ref="CX91:CY91"/>
    <mergeCell ref="DA91:DD91"/>
    <mergeCell ref="CF83:CF85"/>
    <mergeCell ref="CG83:CG85"/>
    <mergeCell ref="CH83:CH85"/>
    <mergeCell ref="CI83:CI85"/>
    <mergeCell ref="CM86:CN88"/>
    <mergeCell ref="CQ89:CR89"/>
    <mergeCell ref="CQ90:CR90"/>
    <mergeCell ref="CX90:CY90"/>
    <mergeCell ref="CR83:CR85"/>
    <mergeCell ref="CS83:CS85"/>
    <mergeCell ref="CT83:CT85"/>
    <mergeCell ref="CU83:CU85"/>
    <mergeCell ref="CV83:CV85"/>
    <mergeCell ref="CW83:CW85"/>
    <mergeCell ref="CW58:CY58"/>
    <mergeCell ref="CO59:CO60"/>
    <mergeCell ref="CP59:CP60"/>
    <mergeCell ref="CQ59:CR59"/>
    <mergeCell ref="CS59:CT59"/>
    <mergeCell ref="CU59:CV59"/>
    <mergeCell ref="CX59:CY59"/>
    <mergeCell ref="CQ58:CR58"/>
    <mergeCell ref="CS58:CV58"/>
    <mergeCell ref="CX83:CX85"/>
    <mergeCell ref="CY83:CY85"/>
    <mergeCell ref="CA83:CA85"/>
    <mergeCell ref="CB83:CB85"/>
    <mergeCell ref="CC83:CC85"/>
    <mergeCell ref="CD83:CD85"/>
    <mergeCell ref="CM83:CN85"/>
    <mergeCell ref="CO83:CO85"/>
    <mergeCell ref="CP83:CP85"/>
    <mergeCell ref="CQ83:CQ85"/>
    <mergeCell ref="DE4:DF4"/>
    <mergeCell ref="CQ38:CR38"/>
    <mergeCell ref="CQ39:CR39"/>
    <mergeCell ref="CX39:CY39"/>
    <mergeCell ref="CM40:CR40"/>
    <mergeCell ref="CS40:CT40"/>
    <mergeCell ref="CV40:CW40"/>
    <mergeCell ref="CX40:CY40"/>
    <mergeCell ref="CU8:CV8"/>
    <mergeCell ref="CX8:CY8"/>
    <mergeCell ref="CA4:CD4"/>
    <mergeCell ref="CQ7:CR7"/>
    <mergeCell ref="CS7:CV7"/>
    <mergeCell ref="CW7:CY7"/>
    <mergeCell ref="CO32:CO34"/>
    <mergeCell ref="CP32:CP34"/>
    <mergeCell ref="CE32:CE34"/>
    <mergeCell ref="CO8:CO9"/>
    <mergeCell ref="CP8:CP9"/>
    <mergeCell ref="CQ8:CR8"/>
    <mergeCell ref="CS8:CT8"/>
    <mergeCell ref="K32:K34"/>
    <mergeCell ref="L32:L34"/>
    <mergeCell ref="BL6:BL9"/>
    <mergeCell ref="BJ7:BJ9"/>
    <mergeCell ref="BI7:BI9"/>
    <mergeCell ref="BR4:BS6"/>
    <mergeCell ref="AO4:AS4"/>
    <mergeCell ref="BE4:BF4"/>
    <mergeCell ref="BG4:BJ4"/>
    <mergeCell ref="BM4:BP4"/>
    <mergeCell ref="H7:K7"/>
    <mergeCell ref="F8:G8"/>
    <mergeCell ref="H8:I8"/>
    <mergeCell ref="J8:K8"/>
    <mergeCell ref="Q6:R9"/>
    <mergeCell ref="BK6:BK9"/>
    <mergeCell ref="E8:E9"/>
    <mergeCell ref="F7:G7"/>
    <mergeCell ref="BT4:BW4"/>
    <mergeCell ref="T4:U4"/>
    <mergeCell ref="V4:W4"/>
    <mergeCell ref="Q11:R11"/>
    <mergeCell ref="L7:L9"/>
    <mergeCell ref="BH7:BH9"/>
    <mergeCell ref="AK6:AK7"/>
    <mergeCell ref="BE6:BE8"/>
    <mergeCell ref="Q24:R24"/>
    <mergeCell ref="AO23:AS23"/>
    <mergeCell ref="Q18:R18"/>
    <mergeCell ref="Q19:R19"/>
    <mergeCell ref="Q20:R20"/>
    <mergeCell ref="Q22:R22"/>
    <mergeCell ref="Q23:R23"/>
    <mergeCell ref="Q12:R12"/>
    <mergeCell ref="Q13:R13"/>
    <mergeCell ref="Q14:R14"/>
    <mergeCell ref="Q15:R15"/>
    <mergeCell ref="AY23:BC23"/>
    <mergeCell ref="Q16:R16"/>
    <mergeCell ref="Q17:R17"/>
    <mergeCell ref="DQ35:DR37"/>
    <mergeCell ref="B35:C37"/>
    <mergeCell ref="BT32:BT34"/>
    <mergeCell ref="BU32:BU34"/>
    <mergeCell ref="BV32:BV34"/>
    <mergeCell ref="BW32:BW34"/>
    <mergeCell ref="CA32:CA34"/>
    <mergeCell ref="C32:C34"/>
    <mergeCell ref="H32:H34"/>
    <mergeCell ref="I32:I34"/>
    <mergeCell ref="CM32:CN34"/>
    <mergeCell ref="H39:I39"/>
    <mergeCell ref="J39:K39"/>
    <mergeCell ref="T39:V39"/>
    <mergeCell ref="BQ32:BQ34"/>
    <mergeCell ref="CL32:CL34"/>
    <mergeCell ref="CG32:CG34"/>
    <mergeCell ref="CF32:CF34"/>
    <mergeCell ref="J32:J34"/>
    <mergeCell ref="CM35:CN37"/>
    <mergeCell ref="Q25:R25"/>
    <mergeCell ref="Q26:R26"/>
    <mergeCell ref="T41:W41"/>
    <mergeCell ref="CB32:CB34"/>
    <mergeCell ref="CC32:CC34"/>
    <mergeCell ref="Q27:R27"/>
    <mergeCell ref="Q28:R28"/>
    <mergeCell ref="CJ32:CJ34"/>
    <mergeCell ref="Z49:Z50"/>
    <mergeCell ref="AS59:AS60"/>
    <mergeCell ref="BD60:BD61"/>
    <mergeCell ref="GL49:GT49"/>
    <mergeCell ref="BD74:BD75"/>
    <mergeCell ref="GJ49:GK49"/>
    <mergeCell ref="DA40:DD40"/>
    <mergeCell ref="EA32:EA34"/>
    <mergeCell ref="DJ32:DJ34"/>
    <mergeCell ref="CY32:CY34"/>
    <mergeCell ref="DO32:DO34"/>
    <mergeCell ref="BR32:BR34"/>
    <mergeCell ref="CD32:CD34"/>
    <mergeCell ref="BS32:BS34"/>
    <mergeCell ref="CR32:CR34"/>
    <mergeCell ref="CV32:CV34"/>
    <mergeCell ref="CS32:CS34"/>
    <mergeCell ref="CT32:CT34"/>
    <mergeCell ref="CI32:CI34"/>
    <mergeCell ref="DW32:DW34"/>
    <mergeCell ref="DX32:DX34"/>
    <mergeCell ref="DU32:DU34"/>
    <mergeCell ref="CW32:CW34"/>
    <mergeCell ref="CH32:CH34"/>
    <mergeCell ref="CU32:CU34"/>
    <mergeCell ref="DP32:DP34"/>
    <mergeCell ref="DK32:DK34"/>
    <mergeCell ref="DL32:DL34"/>
    <mergeCell ref="DM32:DM34"/>
    <mergeCell ref="DN32:DN34"/>
    <mergeCell ref="CQ32:CQ34"/>
    <mergeCell ref="CX32:CX34"/>
    <mergeCell ref="DU7:DV7"/>
    <mergeCell ref="DW7:DZ7"/>
    <mergeCell ref="EB32:EB34"/>
    <mergeCell ref="DY32:DY34"/>
    <mergeCell ref="DV32:DV34"/>
    <mergeCell ref="DS32:DS34"/>
    <mergeCell ref="DT32:DT34"/>
    <mergeCell ref="EA7:EC7"/>
    <mergeCell ref="DS8:DS9"/>
    <mergeCell ref="DT8:DT9"/>
    <mergeCell ref="DU8:DV8"/>
    <mergeCell ref="DW8:DX8"/>
    <mergeCell ref="DY8:DZ8"/>
    <mergeCell ref="EB8:EC8"/>
    <mergeCell ref="EC32:EC34"/>
    <mergeCell ref="DU38:DV38"/>
    <mergeCell ref="DU39:DV39"/>
    <mergeCell ref="EB39:EC39"/>
    <mergeCell ref="DQ40:DV40"/>
    <mergeCell ref="DW40:DX40"/>
    <mergeCell ref="DZ40:EA40"/>
    <mergeCell ref="EB40:EC40"/>
    <mergeCell ref="DQ32:DR34"/>
    <mergeCell ref="DZ32:DZ34"/>
    <mergeCell ref="BV83:BV85"/>
    <mergeCell ref="BW83:BW85"/>
    <mergeCell ref="AS76:AS77"/>
    <mergeCell ref="BQ83:BQ85"/>
    <mergeCell ref="BR83:BR85"/>
    <mergeCell ref="BS83:BS85"/>
    <mergeCell ref="BT83:BT85"/>
    <mergeCell ref="BU83:BU85"/>
  </mergeCells>
  <dataValidations count="8">
    <dataValidation type="whole" allowBlank="1" showErrorMessage="1" errorTitle="LK-Wahl" error="In dieser Spalte können für die Leistungskurse&#10;&#10;nur die Zahlen 1 oder 2 eingegeben werden." sqref="B18:B21 D115:D118">
      <formula1>1</formula1>
      <formula2>2</formula2>
    </dataValidation>
    <dataValidation type="whole" allowBlank="1" showInputMessage="1" showErrorMessage="1" errorTitle="Abiturfächer im GK-Bereich" error="Hier ist nur die Eingabe&#10;&#10;der Zahlen 3 und 4 möglich." sqref="C31 E128:E134 E120:E125 E115:E118">
      <formula1>3</formula1>
      <formula2>4</formula2>
    </dataValidation>
    <dataValidation type="whole" operator="equal" allowBlank="1" showInputMessage="1" showErrorMessage="1" errorTitle="Wochenstunden VTF" error="Jedes Vertiefungsfach wird &#10;&#10;2-stündig unterrichtet." sqref="H139:I141">
      <formula1>2</formula1>
    </dataValidation>
    <dataValidation allowBlank="1" showErrorMessage="1" sqref="CE115:CH135 AA139:AD141 AA115:AD136 AS115:AV141 FQ115:FX141 HG10:HJ32 FQ61:FX86 EZ10:FB32 DJ115:DM141 J115 CS35:CV37 DW10:DZ32 DW35:DZ37 GA35:GD37 CS61:CV83 HG35:HJ37 GA10:GD32 CS86:CV88 CS10:CV32"/>
    <dataValidation type="whole" operator="equal" allowBlank="1" showInputMessage="1" showErrorMessage="1" errorTitle="Wochenstunden" error="In der EF haben alle Kurse bis auf die neue Fremdsprache 3 Stunden." sqref="H115:I115 H119:I136">
      <formula1>3</formula1>
    </dataValidation>
    <dataValidation type="whole" allowBlank="1" showInputMessage="1" showErrorMessage="1" errorTitle="Wochenstunden" error="In der EF haben alle Kurse bis auf &#10;&#10;die neue Fremdsprache 3 Stunden." sqref="H116:I118">
      <formula1>3</formula1>
      <formula2>4</formula2>
    </dataValidation>
    <dataValidation type="whole" allowBlank="1" showInputMessage="1" showErrorMessage="1" errorTitle="LK-Wahl" error="In dieser Spalte können für die Leistungskurse&#10;&#10;nur die Zahlen 1 oder 2 eingegeben werden." sqref="D123:D125 D128:D131">
      <formula1>1</formula1>
      <formula2>2</formula2>
    </dataValidation>
    <dataValidation type="whole" operator="equal" allowBlank="1" showInputMessage="1" showErrorMessage="1" sqref="J139:M141">
      <formula1>2</formula1>
    </dataValidation>
  </dataValidations>
  <printOptions/>
  <pageMargins left="0.1968503937007874" right="0.1968503937007874" top="0.7874015748031497" bottom="0.5905511811023623" header="0.5118110236220472" footer="0.5118110236220472"/>
  <pageSetup fitToHeight="1" fitToWidth="1" horizontalDpi="300" verticalDpi="300" orientation="landscape" paperSize="9" scale="78" r:id="rId3"/>
  <ignoredErrors>
    <ignoredError sqref="CU24:CV24" formula="1"/>
  </ignoredErrors>
  <legacyDrawing r:id="rId2"/>
</worksheet>
</file>

<file path=xl/worksheets/sheet6.xml><?xml version="1.0" encoding="utf-8"?>
<worksheet xmlns="http://schemas.openxmlformats.org/spreadsheetml/2006/main" xmlns:r="http://schemas.openxmlformats.org/officeDocument/2006/relationships">
  <dimension ref="A1:K51"/>
  <sheetViews>
    <sheetView showZeros="0" zoomScalePageLayoutView="0" workbookViewId="0" topLeftCell="A13">
      <selection activeCell="J24" sqref="J24"/>
    </sheetView>
  </sheetViews>
  <sheetFormatPr defaultColWidth="11.421875" defaultRowHeight="12.75"/>
  <cols>
    <col min="9" max="9" width="8.421875" style="0" customWidth="1"/>
  </cols>
  <sheetData>
    <row r="1" spans="1:10" ht="12.75">
      <c r="A1" t="s">
        <v>164</v>
      </c>
      <c r="J1" s="107"/>
    </row>
    <row r="2" spans="2:10" ht="12.75">
      <c r="B2" t="s">
        <v>165</v>
      </c>
      <c r="J2" s="287"/>
    </row>
    <row r="3" spans="2:10" ht="12.75">
      <c r="B3" s="270" t="s">
        <v>270</v>
      </c>
      <c r="C3" s="384" t="s">
        <v>272</v>
      </c>
      <c r="J3" s="107"/>
    </row>
    <row r="4" spans="2:10" ht="12.75">
      <c r="B4" s="270" t="s">
        <v>79</v>
      </c>
      <c r="C4" t="s">
        <v>465</v>
      </c>
      <c r="J4" s="107"/>
    </row>
    <row r="5" spans="2:10" ht="12.75">
      <c r="B5" s="270" t="s">
        <v>80</v>
      </c>
      <c r="C5" t="s">
        <v>167</v>
      </c>
      <c r="J5" s="107"/>
    </row>
    <row r="6" spans="2:10" ht="12.75">
      <c r="B6" s="270" t="s">
        <v>81</v>
      </c>
      <c r="C6" t="s">
        <v>183</v>
      </c>
      <c r="J6" s="107"/>
    </row>
    <row r="7" spans="2:10" ht="12.75">
      <c r="B7" s="270" t="s">
        <v>82</v>
      </c>
      <c r="C7" t="s">
        <v>108</v>
      </c>
      <c r="J7" s="107"/>
    </row>
    <row r="8" spans="2:10" ht="12.75">
      <c r="B8" s="270" t="s">
        <v>83</v>
      </c>
      <c r="C8" t="s">
        <v>367</v>
      </c>
      <c r="J8" s="107"/>
    </row>
    <row r="9" spans="2:10" ht="12.75">
      <c r="B9" s="270" t="s">
        <v>190</v>
      </c>
      <c r="C9" t="s">
        <v>186</v>
      </c>
      <c r="J9" s="107"/>
    </row>
    <row r="10" spans="2:10" ht="12.75">
      <c r="B10" s="270" t="s">
        <v>84</v>
      </c>
      <c r="C10" t="s">
        <v>368</v>
      </c>
      <c r="J10" s="107"/>
    </row>
    <row r="11" spans="2:10" ht="12.75">
      <c r="B11" s="270" t="s">
        <v>198</v>
      </c>
      <c r="C11" t="s">
        <v>199</v>
      </c>
      <c r="J11" s="107"/>
    </row>
    <row r="12" spans="2:10" ht="12.75">
      <c r="B12" s="270" t="s">
        <v>205</v>
      </c>
      <c r="C12" t="s">
        <v>206</v>
      </c>
      <c r="J12" s="107"/>
    </row>
    <row r="13" spans="2:10" ht="12.75">
      <c r="B13" s="270" t="s">
        <v>185</v>
      </c>
      <c r="C13" t="s">
        <v>383</v>
      </c>
      <c r="J13" s="107"/>
    </row>
    <row r="14" spans="2:10" ht="12.75">
      <c r="B14" s="270" t="s">
        <v>85</v>
      </c>
      <c r="C14" t="s">
        <v>86</v>
      </c>
      <c r="J14" s="107"/>
    </row>
    <row r="15" spans="2:10" ht="12.75">
      <c r="B15" s="270" t="s">
        <v>87</v>
      </c>
      <c r="C15" t="s">
        <v>88</v>
      </c>
      <c r="J15" s="107"/>
    </row>
    <row r="16" spans="2:10" ht="12.75">
      <c r="B16" s="270" t="s">
        <v>328</v>
      </c>
      <c r="C16" t="s">
        <v>418</v>
      </c>
      <c r="J16" s="107"/>
    </row>
    <row r="17" spans="2:10" ht="12.75">
      <c r="B17" s="270" t="s">
        <v>310</v>
      </c>
      <c r="C17" t="s">
        <v>311</v>
      </c>
      <c r="J17" s="107"/>
    </row>
    <row r="18" spans="2:10" ht="12.75">
      <c r="B18" s="270" t="s">
        <v>297</v>
      </c>
      <c r="C18" t="s">
        <v>417</v>
      </c>
      <c r="J18" s="107"/>
    </row>
    <row r="19" spans="2:10" ht="12.75">
      <c r="B19" s="270" t="s">
        <v>305</v>
      </c>
      <c r="C19" t="s">
        <v>304</v>
      </c>
      <c r="J19" s="107"/>
    </row>
    <row r="20" spans="2:10" ht="12.75">
      <c r="B20" s="270" t="s">
        <v>265</v>
      </c>
      <c r="C20" t="s">
        <v>461</v>
      </c>
      <c r="J20" s="107"/>
    </row>
    <row r="21" spans="2:10" ht="15" customHeight="1">
      <c r="B21" s="270" t="s">
        <v>251</v>
      </c>
      <c r="C21" t="s">
        <v>252</v>
      </c>
      <c r="E21" s="403"/>
      <c r="F21" s="403"/>
      <c r="G21" s="403"/>
      <c r="H21" s="403"/>
      <c r="J21" s="107"/>
    </row>
    <row r="22" spans="2:10" ht="15" customHeight="1">
      <c r="B22" s="270" t="s">
        <v>187</v>
      </c>
      <c r="C22" s="404" t="s">
        <v>188</v>
      </c>
      <c r="D22" s="404"/>
      <c r="E22" s="415"/>
      <c r="F22" s="415"/>
      <c r="G22" s="415"/>
      <c r="H22" s="415"/>
      <c r="J22" s="107"/>
    </row>
    <row r="23" spans="2:10" ht="12.75">
      <c r="B23" s="270" t="s">
        <v>89</v>
      </c>
      <c r="C23" s="415" t="s">
        <v>399</v>
      </c>
      <c r="D23" s="415"/>
      <c r="J23" s="107"/>
    </row>
    <row r="24" spans="2:10" ht="12.75">
      <c r="B24" s="270" t="s">
        <v>398</v>
      </c>
      <c r="C24" t="s">
        <v>401</v>
      </c>
      <c r="J24" s="107"/>
    </row>
    <row r="25" spans="2:10" ht="12.75">
      <c r="B25" s="270" t="s">
        <v>356</v>
      </c>
      <c r="C25" t="s">
        <v>362</v>
      </c>
      <c r="J25" s="107"/>
    </row>
    <row r="26" spans="2:10" ht="12.75">
      <c r="B26" s="270" t="s">
        <v>370</v>
      </c>
      <c r="C26" t="s">
        <v>371</v>
      </c>
      <c r="J26" s="107"/>
    </row>
    <row r="27" spans="2:10" ht="12.75">
      <c r="B27" s="270" t="s">
        <v>90</v>
      </c>
      <c r="C27" t="s">
        <v>254</v>
      </c>
      <c r="J27" s="107"/>
    </row>
    <row r="28" spans="2:10" ht="12.75">
      <c r="B28" s="270" t="s">
        <v>359</v>
      </c>
      <c r="C28" t="s">
        <v>360</v>
      </c>
      <c r="J28" s="107"/>
    </row>
    <row r="29" spans="2:10" ht="12.75">
      <c r="B29" s="270" t="s">
        <v>91</v>
      </c>
      <c r="C29" t="s">
        <v>92</v>
      </c>
      <c r="J29" s="107"/>
    </row>
    <row r="30" spans="2:10" ht="12.75">
      <c r="B30" s="270" t="s">
        <v>93</v>
      </c>
      <c r="C30" t="s">
        <v>536</v>
      </c>
      <c r="J30" s="107"/>
    </row>
    <row r="31" spans="2:10" ht="12.75">
      <c r="B31" s="270" t="s">
        <v>94</v>
      </c>
      <c r="C31" t="s">
        <v>509</v>
      </c>
      <c r="J31" s="107"/>
    </row>
    <row r="32" spans="2:10" ht="12.75">
      <c r="B32" s="270" t="s">
        <v>95</v>
      </c>
      <c r="C32" s="415" t="s">
        <v>189</v>
      </c>
      <c r="J32" s="107"/>
    </row>
    <row r="33" spans="2:10" ht="12.75">
      <c r="B33" s="270" t="s">
        <v>96</v>
      </c>
      <c r="C33" t="s">
        <v>357</v>
      </c>
      <c r="J33" s="107"/>
    </row>
    <row r="34" spans="2:10" ht="12.75">
      <c r="B34" s="270" t="s">
        <v>97</v>
      </c>
      <c r="C34" t="s">
        <v>505</v>
      </c>
      <c r="J34" s="107"/>
    </row>
    <row r="35" spans="2:10" ht="12.75">
      <c r="B35" s="270" t="s">
        <v>98</v>
      </c>
      <c r="C35" t="s">
        <v>437</v>
      </c>
      <c r="J35" s="107"/>
    </row>
    <row r="36" spans="2:10" ht="12.75">
      <c r="B36" s="270" t="s">
        <v>99</v>
      </c>
      <c r="C36" t="s">
        <v>464</v>
      </c>
      <c r="J36" s="107"/>
    </row>
    <row r="37" ht="12.75">
      <c r="J37" s="107"/>
    </row>
    <row r="38" spans="2:10" ht="12.75">
      <c r="B38" s="270" t="s">
        <v>366</v>
      </c>
      <c r="C38" t="s">
        <v>367</v>
      </c>
      <c r="J38" s="107"/>
    </row>
    <row r="39" spans="2:10" ht="12.75">
      <c r="B39" s="270" t="s">
        <v>100</v>
      </c>
      <c r="C39" t="s">
        <v>367</v>
      </c>
      <c r="J39" s="107"/>
    </row>
    <row r="40" spans="2:10" ht="12.75">
      <c r="B40" s="270" t="s">
        <v>166</v>
      </c>
      <c r="C40" t="s">
        <v>475</v>
      </c>
      <c r="J40" s="107"/>
    </row>
    <row r="41" ht="12.75">
      <c r="J41" s="107"/>
    </row>
    <row r="42" spans="2:10" ht="12.75">
      <c r="B42" t="s">
        <v>101</v>
      </c>
      <c r="J42" s="107"/>
    </row>
    <row r="43" spans="2:10" ht="12.75">
      <c r="B43" s="245" t="s">
        <v>102</v>
      </c>
      <c r="C43" t="s">
        <v>103</v>
      </c>
      <c r="J43" s="107"/>
    </row>
    <row r="44" spans="2:11" ht="12.75">
      <c r="B44" s="245" t="s">
        <v>104</v>
      </c>
      <c r="C44" t="s">
        <v>105</v>
      </c>
      <c r="J44" s="107"/>
      <c r="K44" s="249"/>
    </row>
    <row r="45" spans="2:10" ht="12.75">
      <c r="B45" s="245" t="s">
        <v>106</v>
      </c>
      <c r="C45" t="s">
        <v>168</v>
      </c>
      <c r="J45" s="107"/>
    </row>
    <row r="46" spans="2:10" ht="12.75">
      <c r="B46" t="s">
        <v>107</v>
      </c>
      <c r="J46" s="107"/>
    </row>
    <row r="47" spans="2:10" ht="12.75">
      <c r="B47" s="245" t="s">
        <v>166</v>
      </c>
      <c r="C47" t="s">
        <v>274</v>
      </c>
      <c r="J47" s="107"/>
    </row>
    <row r="48" spans="2:10" ht="12.75">
      <c r="B48" s="245" t="s">
        <v>463</v>
      </c>
      <c r="C48" t="s">
        <v>419</v>
      </c>
      <c r="J48" s="107"/>
    </row>
    <row r="49" spans="2:10" ht="12.75">
      <c r="B49" s="270" t="s">
        <v>389</v>
      </c>
      <c r="C49" t="s">
        <v>253</v>
      </c>
      <c r="J49" s="107"/>
    </row>
    <row r="50" spans="2:10" ht="12.75">
      <c r="B50" s="245" t="s">
        <v>101</v>
      </c>
      <c r="C50" t="s">
        <v>521</v>
      </c>
      <c r="J50" s="107"/>
    </row>
    <row r="51" spans="2:3" ht="12.75">
      <c r="B51" s="107"/>
      <c r="C51" s="504"/>
    </row>
  </sheetData>
  <sheetProtection/>
  <printOptions/>
  <pageMargins left="0.7479166666666667" right="0.7479166666666667" top="0.9840277777777777" bottom="0.9840277777777777" header="0.5118055555555555" footer="0.511805555555555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2:Y27"/>
  <sheetViews>
    <sheetView showGridLines="0" showRowColHeaders="0" zoomScale="110" zoomScaleNormal="110" zoomScalePageLayoutView="0" workbookViewId="0" topLeftCell="A1">
      <selection activeCell="A2" sqref="A2:J2"/>
    </sheetView>
  </sheetViews>
  <sheetFormatPr defaultColWidth="11.421875" defaultRowHeight="12.75"/>
  <cols>
    <col min="1" max="1" width="11.421875" style="135" customWidth="1"/>
    <col min="2" max="2" width="8.140625" style="135" customWidth="1"/>
    <col min="3" max="3" width="9.421875" style="135" customWidth="1"/>
    <col min="4" max="4" width="11.421875" style="135" customWidth="1"/>
    <col min="5" max="5" width="5.8515625" style="135" customWidth="1"/>
    <col min="6" max="6" width="20.8515625" style="135" customWidth="1"/>
    <col min="7" max="11" width="9.7109375" style="135" customWidth="1"/>
    <col min="12" max="13" width="8.00390625" style="135" customWidth="1"/>
    <col min="14" max="16" width="8.00390625" style="136" customWidth="1"/>
    <col min="17" max="17" width="8.00390625" style="135" customWidth="1"/>
    <col min="18" max="18" width="8.00390625" style="137" customWidth="1"/>
    <col min="19" max="21" width="7.8515625" style="137" customWidth="1"/>
    <col min="22" max="22" width="5.140625" style="135" customWidth="1"/>
    <col min="23" max="23" width="5.57421875" style="135" customWidth="1"/>
    <col min="24" max="16384" width="11.421875" style="135" customWidth="1"/>
  </cols>
  <sheetData>
    <row r="1" ht="15.75" customHeight="1"/>
    <row r="2" spans="1:15" ht="27.75" customHeight="1" thickBot="1">
      <c r="A2" s="1573" t="str">
        <f>Dokumentation!B1</f>
        <v>Gymnasium an der Gartenstraße</v>
      </c>
      <c r="B2" s="1573"/>
      <c r="C2" s="1573"/>
      <c r="D2" s="1573"/>
      <c r="E2" s="1573"/>
      <c r="F2" s="1573"/>
      <c r="G2" s="1573"/>
      <c r="H2" s="1573"/>
      <c r="I2" s="1573"/>
      <c r="J2" s="1573"/>
      <c r="K2" s="138" t="s">
        <v>1</v>
      </c>
      <c r="O2" s="889"/>
    </row>
    <row r="3" spans="5:21" ht="9.75" customHeight="1" thickBot="1">
      <c r="E3" s="139"/>
      <c r="F3" s="140"/>
      <c r="G3" s="140"/>
      <c r="H3" s="139"/>
      <c r="I3" s="139"/>
      <c r="J3" s="139"/>
      <c r="K3" s="139"/>
      <c r="L3" s="445"/>
      <c r="M3" s="445"/>
      <c r="N3" s="446"/>
      <c r="O3" s="446"/>
      <c r="P3" s="141"/>
      <c r="Q3" s="140"/>
      <c r="R3" s="142"/>
      <c r="S3" s="143"/>
      <c r="T3" s="143"/>
      <c r="U3" s="139"/>
    </row>
    <row r="4" spans="5:25" ht="16.5" customHeight="1" thickBot="1">
      <c r="E4" s="136"/>
      <c r="F4" s="1574" t="s">
        <v>127</v>
      </c>
      <c r="G4" s="1574"/>
      <c r="H4" s="1574"/>
      <c r="I4" s="1574"/>
      <c r="J4" s="1575"/>
      <c r="K4" s="449"/>
      <c r="L4" s="448"/>
      <c r="M4" s="448"/>
      <c r="N4" s="448"/>
      <c r="O4" s="448"/>
      <c r="P4" s="448"/>
      <c r="Q4" s="448"/>
      <c r="R4" s="448"/>
      <c r="S4" s="448"/>
      <c r="T4" s="448"/>
      <c r="U4" s="448"/>
      <c r="V4" s="448"/>
      <c r="W4" s="448"/>
      <c r="X4" s="448"/>
      <c r="Y4" s="240"/>
    </row>
    <row r="5" spans="1:21" ht="19.5" customHeight="1">
      <c r="A5" s="1576" t="str">
        <f>IF(OR(G6="",H6=""),"Mindestens ein LK ist nicht angegeben!  -  siehe 'Zulassung'","")</f>
        <v>Mindestens ein LK ist nicht angegeben!  -  siehe 'Zulassung'</v>
      </c>
      <c r="B5" s="1576"/>
      <c r="C5" s="1576"/>
      <c r="D5" s="1576"/>
      <c r="E5" s="136"/>
      <c r="F5" s="144"/>
      <c r="G5" s="145" t="s">
        <v>128</v>
      </c>
      <c r="H5" s="146" t="s">
        <v>129</v>
      </c>
      <c r="I5" s="145" t="s">
        <v>130</v>
      </c>
      <c r="J5" s="443" t="s">
        <v>131</v>
      </c>
      <c r="K5" s="1564" t="s">
        <v>340</v>
      </c>
      <c r="N5" s="135"/>
      <c r="O5" s="135"/>
      <c r="P5" s="135"/>
      <c r="R5" s="135"/>
      <c r="S5" s="135"/>
      <c r="T5" s="135"/>
      <c r="U5" s="135"/>
    </row>
    <row r="6" spans="1:11" s="137" customFormat="1" ht="19.5" customHeight="1" thickBot="1">
      <c r="A6" s="1576"/>
      <c r="B6" s="1576"/>
      <c r="C6" s="1576"/>
      <c r="D6" s="1576"/>
      <c r="E6" s="136"/>
      <c r="F6" s="147"/>
      <c r="G6" s="148">
        <f ca="1">IF(ISNA(MATCH(1,Zulassung!$E$9:$E$30,0)=TRUE),"",INDIRECT("Zulassung!D"&amp;MATCH(1,Zulassung!$E$9:$E$30,0)+8))</f>
      </c>
      <c r="H6" s="148">
        <f ca="1">IF(ISNA(MATCH(2,Zulassung!$E$9:$E$30,0)=TRUE),"",INDIRECT("Zulassung!D"&amp;MATCH(2,Zulassung!$E$9:$E$30,0)+8))</f>
      </c>
      <c r="I6" s="148">
        <f ca="1">IF(ISNA(MATCH(3,Zulassung!$E$9:$E$30,0)=TRUE),"",INDIRECT("Zulassung!D"&amp;MATCH(3,Zulassung!$E$9:$E$30,0)+8))</f>
      </c>
      <c r="J6" s="148">
        <f ca="1">IF(ISNA(MATCH(4,Zulassung!$E$9:$E$30,0)=TRUE),"",INDIRECT("Zulassung!D"&amp;MATCH(4,Zulassung!$E$9:$E$30,0)+8))</f>
      </c>
      <c r="K6" s="1565"/>
    </row>
    <row r="7" spans="1:21" ht="16.5" customHeight="1">
      <c r="A7" s="1576"/>
      <c r="B7" s="1576"/>
      <c r="C7" s="1576"/>
      <c r="D7" s="1576"/>
      <c r="E7" s="136"/>
      <c r="F7" s="149" t="s">
        <v>132</v>
      </c>
      <c r="G7" s="150">
        <f>IF(G6="","",IF(OR(ISNA(VLOOKUP(1,Zulassung!$E$9:$K$30,4,FALSE))=TRUE,VLOOKUP(1,Zulassung!$E$9:$K$30,4,FALSE)=0),"",(VLOOKUP(1,Zulassung!$E$9:$K$30,4,FALSE)+VLOOKUP(1,Zulassung!$E$9:$K$30,5,FALSE)+VLOOKUP(1,Zulassung!$E$9:$K$30,6,FALSE)+VLOOKUP(1,Zulassung!$E$9:$K$30,7,FALSE))/4))</f>
      </c>
      <c r="H7" s="150">
        <f>IF(H6="","",IF(OR(ISNA(VLOOKUP(2,Zulassung!$E$9:$K$30,4,FALSE))=TRUE,VLOOKUP(2,Zulassung!$E$9:$K$30,4,FALSE)=0),"",(VLOOKUP(2,Zulassung!$E$9:$K$30,4,FALSE)+VLOOKUP(2,Zulassung!$E$9:$K$30,5,FALSE)+VLOOKUP(2,Zulassung!$E$9:$K$30,6,FALSE)+VLOOKUP(2,Zulassung!$E$9:$K$30,7,FALSE))/4))</f>
      </c>
      <c r="I7" s="150">
        <f>IF(I6="","",IF(OR(ISNA(VLOOKUP(3,Zulassung!$E$9:$K$30,4,FALSE))=TRUE,VLOOKUP(3,Zulassung!$E$9:$K$30,4,FALSE)=0),"",(VLOOKUP(3,Zulassung!$E$9:$K$30,4,FALSE)+VLOOKUP(3,Zulassung!$E$9:$K$30,5,FALSE)+VLOOKUP(3,Zulassung!$E$9:$K$30,6,FALSE)+VLOOKUP(3,Zulassung!$E$9:$K$30,7,FALSE))/4))</f>
      </c>
      <c r="J7" s="1570"/>
      <c r="K7" s="1567" t="s">
        <v>382</v>
      </c>
      <c r="N7" s="135"/>
      <c r="O7" s="135"/>
      <c r="P7" s="135"/>
      <c r="R7" s="135"/>
      <c r="S7" s="135"/>
      <c r="T7" s="135"/>
      <c r="U7" s="135"/>
    </row>
    <row r="8" spans="5:11" s="151" customFormat="1" ht="16.5" customHeight="1">
      <c r="E8" s="136"/>
      <c r="F8" s="152" t="s">
        <v>133</v>
      </c>
      <c r="G8" s="153"/>
      <c r="H8" s="154"/>
      <c r="I8" s="153"/>
      <c r="J8" s="1571"/>
      <c r="K8" s="1568"/>
    </row>
    <row r="9" spans="5:21" ht="16.5" customHeight="1">
      <c r="E9" s="136"/>
      <c r="F9" s="155" t="s">
        <v>134</v>
      </c>
      <c r="G9" s="156">
        <f>IF(OR(G8="",G7="",G6=""),"",IF(ABS(G7-G8)&lt;4,"",ABS(G7-G8)))</f>
      </c>
      <c r="H9" s="156">
        <f>IF(OR(H8="",H7="",H6=""),"",IF(ABS(H7-H8)&lt;4,"",ABS(H7-H8)))</f>
      </c>
      <c r="I9" s="156">
        <f>IF(OR(I8="",I7="",I6=""),"",IF(ABS(I7-I8)&lt;4,"",ABS(I7-I8)))</f>
      </c>
      <c r="J9" s="1572"/>
      <c r="K9" s="1569"/>
      <c r="N9" s="135"/>
      <c r="O9" s="135"/>
      <c r="P9" s="135"/>
      <c r="R9" s="135"/>
      <c r="S9" s="135"/>
      <c r="T9" s="135"/>
      <c r="U9" s="135"/>
    </row>
    <row r="10" spans="5:21" ht="16.5" customHeight="1" thickBot="1">
      <c r="E10" s="136"/>
      <c r="F10" s="157" t="s">
        <v>135</v>
      </c>
      <c r="G10" s="158"/>
      <c r="H10" s="159"/>
      <c r="I10" s="158"/>
      <c r="J10" s="444"/>
      <c r="K10" s="460"/>
      <c r="L10" s="151"/>
      <c r="N10" s="135"/>
      <c r="O10" s="135"/>
      <c r="P10" s="135"/>
      <c r="R10" s="135"/>
      <c r="S10" s="135"/>
      <c r="T10" s="135"/>
      <c r="U10" s="135"/>
    </row>
    <row r="11" spans="5:21" ht="16.5" customHeight="1" thickBot="1">
      <c r="E11" s="136"/>
      <c r="F11" s="160" t="s">
        <v>136</v>
      </c>
      <c r="G11" s="161">
        <f>IF(OR(G6="",G7=""),"",IF($K$11="",IF(G10="",5*G8,ROUND((2*G8+G10)*5/3,0)),IF(G10="",4*G8,ROUND((2*G8+G10)*4/3,0))))</f>
      </c>
      <c r="H11" s="161">
        <f>IF(OR(H6="",H7=""),"",IF($K$11="",IF(H10="",5*H8,ROUND((2*H8+H10)*5/3,0)),IF(H10="",4*H8,ROUND((2*H8+H10)*4/3,0))))</f>
      </c>
      <c r="I11" s="161">
        <f>IF(OR(I6="",I7=""),"",IF($K$11="",IF(I10="",5*I8,ROUND((2*I8+I10)*5/3,0)),IF(I10="",4*I8,ROUND((2*I8+I10)*4/3,0))))</f>
      </c>
      <c r="J11" s="161">
        <f>IF(OR(J6="",J10=""),"",IF($K$11="",5*J10,4*J10))</f>
      </c>
      <c r="K11" s="447">
        <f>IF(K10="","",4*K10)</f>
      </c>
      <c r="L11" s="454"/>
      <c r="M11" s="454"/>
      <c r="N11" s="454"/>
      <c r="O11" s="454"/>
      <c r="P11" s="135"/>
      <c r="R11" s="135"/>
      <c r="S11" s="135"/>
      <c r="T11" s="135"/>
      <c r="U11" s="135"/>
    </row>
    <row r="12" spans="5:21" ht="16.5" customHeight="1" thickBot="1">
      <c r="E12" s="136"/>
      <c r="F12" s="162" t="s">
        <v>137</v>
      </c>
      <c r="G12" s="163"/>
      <c r="H12" s="164"/>
      <c r="I12" s="164"/>
      <c r="J12" s="421">
        <f>IF(SUM(G11:K11)=0,"",SUM(G11:K11))</f>
      </c>
      <c r="L12" s="454"/>
      <c r="M12" s="454"/>
      <c r="N12" s="454"/>
      <c r="O12" s="454"/>
      <c r="P12" s="135"/>
      <c r="R12" s="135"/>
      <c r="S12" s="135"/>
      <c r="T12" s="135"/>
      <c r="U12" s="135"/>
    </row>
    <row r="13" spans="5:21" ht="16.5" customHeight="1" thickBot="1">
      <c r="E13" s="136"/>
      <c r="K13" s="454"/>
      <c r="L13" s="454"/>
      <c r="M13" s="454"/>
      <c r="N13" s="455"/>
      <c r="O13" s="455"/>
      <c r="R13" s="135"/>
      <c r="S13" s="135"/>
      <c r="T13" s="135"/>
      <c r="U13" s="135"/>
    </row>
    <row r="14" spans="2:21" ht="16.5" customHeight="1">
      <c r="B14" s="165"/>
      <c r="C14" s="165"/>
      <c r="D14" s="165"/>
      <c r="E14" s="165"/>
      <c r="F14" s="166" t="s">
        <v>138</v>
      </c>
      <c r="G14" s="167"/>
      <c r="H14" s="167"/>
      <c r="I14" s="450"/>
      <c r="J14" s="168">
        <f>Zulassung!AG17</f>
      </c>
      <c r="K14" s="454"/>
      <c r="L14" s="454"/>
      <c r="M14" s="454"/>
      <c r="N14" s="455"/>
      <c r="O14" s="455"/>
      <c r="R14" s="135"/>
      <c r="S14" s="135"/>
      <c r="T14" s="135"/>
      <c r="U14" s="135"/>
    </row>
    <row r="15" spans="1:21" ht="16.5" customHeight="1" thickBot="1">
      <c r="A15" s="1561">
        <f>IF(OR(G11="",H11="",I11=""),"",IF(OR(AND(G9&lt;&gt;"",G10=""),AND(H9&lt;&gt;"",H10=""),AND(I9&lt;&gt;"",I10="")),"Es ist eine Abweichungs-        prüfung erforderlich!",IF(AND(J12&gt;99,G8&lt;&gt;"",H8&lt;&gt;"",I8&lt;&gt;"",J10&lt;&gt;"",OR(AND(K11="",G11&gt;24,OR(H11&gt;24,I11&gt;24,J11&gt;24)),AND(K11="",H11&gt;24,OR(G11&gt;24,I11&gt;24,J11&gt;24)))),"Herzlichen Glückwunsch zum bestandenen Abitur!",IF(AND(J12&gt;99,G8&lt;&gt;"",H8&lt;&gt;"",I8&lt;&gt;"",J10&lt;&gt;"",OR(AND(K11&lt;&gt;"",G11&gt;19,OR(H11&gt;19,I11&gt;19,J11&gt;19)),AND(K11&lt;&gt;"",H11&gt;19,OR(G11&gt;19,I11&gt;19,J11&gt;19)))),"Herzlichen Glückwunsch zum bestandenen Abitur!",IF(OR(G8="",H8="",I8="",J10=""),"","Die Abiturprüfung ist nicht bestanden!")))))</f>
      </c>
      <c r="B15" s="1561"/>
      <c r="C15" s="1561"/>
      <c r="D15" s="1561"/>
      <c r="E15" s="165"/>
      <c r="F15" s="1562" t="s">
        <v>336</v>
      </c>
      <c r="G15" s="1562"/>
      <c r="H15" s="1562"/>
      <c r="I15" s="1563"/>
      <c r="J15" s="1566">
        <f>J12</f>
      </c>
      <c r="K15" s="454"/>
      <c r="L15" s="458"/>
      <c r="M15" s="456"/>
      <c r="N15" s="456"/>
      <c r="O15" s="456"/>
      <c r="P15" s="165"/>
      <c r="R15" s="135"/>
      <c r="S15" s="135"/>
      <c r="T15" s="135"/>
      <c r="U15" s="135"/>
    </row>
    <row r="16" spans="1:16" ht="16.5" customHeight="1" thickBot="1">
      <c r="A16" s="1561"/>
      <c r="B16" s="1561"/>
      <c r="C16" s="1561"/>
      <c r="D16" s="1561"/>
      <c r="E16" s="165"/>
      <c r="F16" s="1562"/>
      <c r="G16" s="1562"/>
      <c r="H16" s="1562"/>
      <c r="I16" s="1563"/>
      <c r="J16" s="1566"/>
      <c r="K16" s="458"/>
      <c r="L16" s="458"/>
      <c r="M16" s="456"/>
      <c r="N16" s="456"/>
      <c r="O16" s="456"/>
      <c r="P16" s="165"/>
    </row>
    <row r="17" spans="1:16" ht="16.5" customHeight="1" thickBot="1">
      <c r="A17" s="1561"/>
      <c r="B17" s="1561"/>
      <c r="C17" s="1561"/>
      <c r="D17" s="1561"/>
      <c r="E17" s="165"/>
      <c r="F17" s="169" t="s">
        <v>139</v>
      </c>
      <c r="G17" s="170"/>
      <c r="H17" s="170"/>
      <c r="I17" s="451"/>
      <c r="J17" s="424">
        <f>IF(SUM(J14:J15)=0,"",SUM(J14:J15))</f>
      </c>
      <c r="K17" s="459">
        <f ca="1">IF(OR(J20="",J20&gt;822),"",IF(INDIRECT("Notenschnitt!B"&amp;MATCH(J17,Notenschnitt!B6:B40,1)+6,TRUE)-J17&lt;1,INDIRECT("Notenschnitt!B"&amp;MATCH(J17,Notenschnitt!B6:B40,1)+6,TRUE)-J17+18,INDIRECT("Notenschnitt!B"&amp;MATCH(J17,Notenschnitt!B6:B40,1)+6,TRUE)-J17))</f>
      </c>
      <c r="L17" s="458">
        <f>IF(OR(J20="",J20&gt;822),"",IF(ROUND(K17,0)=1,"Punkt mehr","Punkte mehr"))</f>
      </c>
      <c r="M17" s="456"/>
      <c r="N17" s="457"/>
      <c r="O17" s="456"/>
      <c r="P17" s="165"/>
    </row>
    <row r="18" spans="1:16" ht="16.5" customHeight="1">
      <c r="A18" s="1561"/>
      <c r="B18" s="1561"/>
      <c r="C18" s="1561"/>
      <c r="D18" s="1561"/>
      <c r="E18" s="165"/>
      <c r="J18" s="137"/>
      <c r="K18" s="458"/>
      <c r="L18" s="458">
        <f>IF(OR(J20="",J20&gt;822),"",IF(ROUND(K17,0)=1,"verbessert den","verbessern den"))</f>
      </c>
      <c r="M18" s="456"/>
      <c r="N18" s="456"/>
      <c r="O18" s="456"/>
      <c r="P18" s="165"/>
    </row>
    <row r="19" spans="1:15" ht="15" customHeight="1" thickBot="1">
      <c r="A19" s="1560">
        <f>IF(A15="","",IF(COUNT(G8:I8)&lt;3,"",IF(J12&lt;100,"Keine 100 Punkte im Abiturbereich!","")))</f>
      </c>
      <c r="B19" s="1560"/>
      <c r="C19" s="1560"/>
      <c r="D19" s="1560"/>
      <c r="E19" s="136"/>
      <c r="J19" s="171"/>
      <c r="K19" s="454"/>
      <c r="L19" s="454">
        <f>IF(OR(J20="",J20&gt;822),"","Durchschnitt um 0,1.")</f>
      </c>
      <c r="M19" s="454"/>
      <c r="N19" s="455"/>
      <c r="O19" s="455"/>
    </row>
    <row r="20" spans="1:15" ht="15" customHeight="1" thickBot="1">
      <c r="A20" s="1560">
        <f>IF(COUNT(G8:H8)&lt;2,"",IF(AND(K11="",G11&lt;25,H11&lt;25),"Kein LK mit 25 Punkten!",IF(AND(K11&lt;&gt;"",G11&lt;20,H11&lt;20),"Kein LK mit 20 Punkten!",IF(AND(K11="",OR(AND(G11&lt;25,I11&lt;25,J11&lt;25),AND(H11&lt;25,I11&lt;25,J11&lt;25))),"Keine 2 Kurse mit 25 Punkten!",IF(AND(K11&lt;&gt;"",OR(AND(G11&lt;20,I11&lt;20,J11&lt;20),AND(H11&lt;20,I11&lt;20,J11&lt;20))),"Keine 2 Kurse mit 20 Punkten!","")))))</f>
      </c>
      <c r="B20" s="1560"/>
      <c r="C20" s="1560"/>
      <c r="D20" s="1560"/>
      <c r="E20" s="136"/>
      <c r="F20" s="172" t="s">
        <v>140</v>
      </c>
      <c r="G20" s="173"/>
      <c r="H20" s="173"/>
      <c r="I20" s="453"/>
      <c r="J20" s="452">
        <f>IF(OR(J14="",J15=""),"",IF(OR($A$19&lt;&gt;"",$A$20&lt;&gt;""),"",IF(J17&gt;822,"1,0",ROUNDDOWN(17/3-J17/180,1))))</f>
      </c>
      <c r="K20" s="454"/>
      <c r="L20" s="454"/>
      <c r="M20" s="454"/>
      <c r="N20" s="455"/>
      <c r="O20" s="455"/>
    </row>
    <row r="21" spans="5:15" ht="15" customHeight="1">
      <c r="E21" s="136"/>
      <c r="K21" s="454"/>
      <c r="L21" s="454"/>
      <c r="M21" s="454"/>
      <c r="N21" s="455"/>
      <c r="O21" s="455"/>
    </row>
    <row r="22" spans="5:15" ht="15" customHeight="1">
      <c r="E22" s="136"/>
      <c r="K22" s="454"/>
      <c r="L22" s="454"/>
      <c r="M22" s="454"/>
      <c r="N22" s="455"/>
      <c r="O22" s="455"/>
    </row>
    <row r="23" spans="5:16" ht="15" customHeight="1">
      <c r="E23" s="136"/>
      <c r="F23" s="174"/>
      <c r="G23" s="137"/>
      <c r="H23" s="137"/>
      <c r="I23" s="137"/>
      <c r="J23" s="137"/>
      <c r="L23" s="454"/>
      <c r="M23" s="454"/>
      <c r="N23" s="454"/>
      <c r="O23" s="454"/>
      <c r="P23" s="135"/>
    </row>
    <row r="24" spans="5:16" ht="15" customHeight="1">
      <c r="E24" s="136"/>
      <c r="F24" s="175"/>
      <c r="G24" s="137"/>
      <c r="H24" s="137"/>
      <c r="I24" s="137"/>
      <c r="J24" s="137"/>
      <c r="L24" s="454"/>
      <c r="M24" s="454"/>
      <c r="N24" s="454"/>
      <c r="O24" s="454"/>
      <c r="P24" s="135"/>
    </row>
    <row r="25" spans="5:16" ht="15" customHeight="1">
      <c r="E25" s="136"/>
      <c r="F25" s="176"/>
      <c r="G25" s="137"/>
      <c r="H25" s="137"/>
      <c r="I25" s="137"/>
      <c r="J25" s="137"/>
      <c r="N25" s="135"/>
      <c r="O25" s="135"/>
      <c r="P25" s="135"/>
    </row>
    <row r="26" ht="18.75" customHeight="1">
      <c r="N26" s="135"/>
    </row>
    <row r="27" spans="7:10" ht="16.5" customHeight="1">
      <c r="G27" s="137"/>
      <c r="H27" s="137"/>
      <c r="I27" s="137"/>
      <c r="J27" s="137"/>
    </row>
    <row r="28" ht="18" customHeight="1"/>
  </sheetData>
  <sheetProtection password="81D9" sheet="1"/>
  <mergeCells count="13">
    <mergeCell ref="A2:J2"/>
    <mergeCell ref="F4:J4"/>
    <mergeCell ref="A5:D6"/>
    <mergeCell ref="A7:D7"/>
    <mergeCell ref="A20:D20"/>
    <mergeCell ref="A15:D18"/>
    <mergeCell ref="F15:H16"/>
    <mergeCell ref="I15:I16"/>
    <mergeCell ref="A19:D19"/>
    <mergeCell ref="K5:K6"/>
    <mergeCell ref="J15:J16"/>
    <mergeCell ref="K7:K9"/>
    <mergeCell ref="J7:J9"/>
  </mergeCells>
  <dataValidations count="2">
    <dataValidation type="whole" allowBlank="1" showErrorMessage="1" sqref="G8:I8 G10:J10">
      <formula1>0</formula1>
      <formula2>15</formula2>
    </dataValidation>
    <dataValidation type="whole" allowBlank="1" showInputMessage="1" showErrorMessage="1" sqref="K10">
      <formula1>0</formula1>
      <formula2>15</formula2>
    </dataValidation>
  </dataValidations>
  <printOptions/>
  <pageMargins left="0.5902777777777778" right="0.19652777777777777" top="0.9840277777777777" bottom="0.5118055555555555" header="0.5118055555555555" footer="0.5118055555555555"/>
  <pageSetup horizontalDpi="300" verticalDpi="300" orientation="landscape" paperSize="9" r:id="rId3"/>
  <headerFooter alignWithMargins="0">
    <oddFooter>&amp;LLeistugsübersicht Sek II&amp;CSeite1&amp;RTabelle mit Formeln</oddFooter>
  </headerFooter>
  <legacyDrawing r:id="rId2"/>
</worksheet>
</file>

<file path=xl/worksheets/sheet8.xml><?xml version="1.0" encoding="utf-8"?>
<worksheet xmlns="http://schemas.openxmlformats.org/spreadsheetml/2006/main" xmlns:r="http://schemas.openxmlformats.org/officeDocument/2006/relationships">
  <dimension ref="B1:Z31"/>
  <sheetViews>
    <sheetView showGridLines="0" showRowColHeaders="0" zoomScale="110" zoomScaleNormal="110" zoomScalePageLayoutView="0" workbookViewId="0" topLeftCell="A1">
      <selection activeCell="L28" sqref="L28"/>
    </sheetView>
  </sheetViews>
  <sheetFormatPr defaultColWidth="11.421875" defaultRowHeight="12.75"/>
  <cols>
    <col min="1" max="1" width="10.421875" style="0" customWidth="1"/>
    <col min="2" max="2" width="3.7109375" style="0" customWidth="1"/>
    <col min="3" max="3" width="1.7109375" style="0" customWidth="1"/>
    <col min="4" max="4" width="4.421875" style="0" customWidth="1"/>
    <col min="5" max="5" width="6.140625" style="0" customWidth="1"/>
    <col min="6" max="21" width="5.7109375" style="0" customWidth="1"/>
    <col min="26" max="26" width="11.421875" style="0" hidden="1" customWidth="1"/>
  </cols>
  <sheetData>
    <row r="1" ht="10.5" customHeight="1">
      <c r="Z1">
        <v>0</v>
      </c>
    </row>
    <row r="2" spans="2:26" ht="28.5" customHeight="1">
      <c r="B2" s="1579" t="str">
        <f>Dokumentation!B1</f>
        <v>Gymnasium an der Gartenstraße</v>
      </c>
      <c r="C2" s="1579"/>
      <c r="D2" s="1579"/>
      <c r="E2" s="1579"/>
      <c r="F2" s="1579"/>
      <c r="G2" s="1579"/>
      <c r="H2" s="1579"/>
      <c r="I2" s="1579"/>
      <c r="J2" s="1579"/>
      <c r="K2" s="1579"/>
      <c r="L2" s="1579"/>
      <c r="M2" s="1579"/>
      <c r="N2" s="1579"/>
      <c r="O2" s="1579"/>
      <c r="P2" s="1579"/>
      <c r="Q2" s="1579"/>
      <c r="R2" s="1579"/>
      <c r="S2" s="1579"/>
      <c r="T2" s="1579"/>
      <c r="U2" s="138" t="s">
        <v>1</v>
      </c>
      <c r="Z2">
        <v>1</v>
      </c>
    </row>
    <row r="3" spans="2:26" ht="21" customHeight="1">
      <c r="B3" s="1580" t="s">
        <v>520</v>
      </c>
      <c r="C3" s="1580"/>
      <c r="D3" s="1580"/>
      <c r="E3" s="1580"/>
      <c r="F3" s="1580"/>
      <c r="G3" s="1580"/>
      <c r="H3" s="1580"/>
      <c r="I3" s="1580"/>
      <c r="J3" s="1580"/>
      <c r="K3" s="1580"/>
      <c r="L3" s="1580"/>
      <c r="M3" s="1580"/>
      <c r="N3" s="1580"/>
      <c r="O3" s="1580"/>
      <c r="P3" s="1580"/>
      <c r="Q3" s="1580"/>
      <c r="R3" s="1580"/>
      <c r="S3" s="1580"/>
      <c r="T3" s="1580"/>
      <c r="U3" s="1580"/>
      <c r="Z3">
        <v>2</v>
      </c>
    </row>
    <row r="4" spans="9:26" ht="12.75" customHeight="1">
      <c r="I4" s="177" t="s">
        <v>257</v>
      </c>
      <c r="Z4">
        <v>3</v>
      </c>
    </row>
    <row r="5" ht="6.75" customHeight="1" thickBot="1">
      <c r="Z5">
        <v>4</v>
      </c>
    </row>
    <row r="6" spans="2:26" ht="15" customHeight="1" thickBot="1">
      <c r="B6" s="1583"/>
      <c r="C6" s="1584"/>
      <c r="D6" s="1584"/>
      <c r="E6" s="178"/>
      <c r="F6" s="1581" t="s">
        <v>141</v>
      </c>
      <c r="G6" s="1581"/>
      <c r="H6" s="1581"/>
      <c r="I6" s="1581"/>
      <c r="J6" s="1581"/>
      <c r="K6" s="1581"/>
      <c r="L6" s="1581"/>
      <c r="M6" s="1581"/>
      <c r="N6" s="1581"/>
      <c r="O6" s="1581"/>
      <c r="P6" s="1581"/>
      <c r="Q6" s="1581"/>
      <c r="R6" s="1581"/>
      <c r="S6" s="1581"/>
      <c r="T6" s="1581"/>
      <c r="U6" s="1581"/>
      <c r="Z6">
        <v>5</v>
      </c>
    </row>
    <row r="7" spans="2:26" ht="15" customHeight="1">
      <c r="B7" s="1585"/>
      <c r="C7" s="1586"/>
      <c r="D7" s="1586"/>
      <c r="E7" s="179" t="s">
        <v>142</v>
      </c>
      <c r="F7" s="180">
        <v>6</v>
      </c>
      <c r="G7" s="181" t="s">
        <v>143</v>
      </c>
      <c r="H7" s="182">
        <v>5</v>
      </c>
      <c r="I7" s="183" t="s">
        <v>144</v>
      </c>
      <c r="J7" s="182" t="s">
        <v>145</v>
      </c>
      <c r="K7" s="182">
        <v>4</v>
      </c>
      <c r="L7" s="183" t="s">
        <v>146</v>
      </c>
      <c r="M7" s="182" t="s">
        <v>147</v>
      </c>
      <c r="N7" s="182">
        <v>3</v>
      </c>
      <c r="O7" s="183" t="s">
        <v>148</v>
      </c>
      <c r="P7" s="182" t="s">
        <v>149</v>
      </c>
      <c r="Q7" s="182">
        <v>2</v>
      </c>
      <c r="R7" s="183" t="s">
        <v>150</v>
      </c>
      <c r="S7" s="182" t="s">
        <v>151</v>
      </c>
      <c r="T7" s="182">
        <v>1</v>
      </c>
      <c r="U7" s="184" t="s">
        <v>152</v>
      </c>
      <c r="Z7">
        <v>6</v>
      </c>
    </row>
    <row r="8" spans="2:26" ht="15" customHeight="1" thickBot="1">
      <c r="B8" s="185"/>
      <c r="C8" s="1582" t="s">
        <v>142</v>
      </c>
      <c r="D8" s="1582"/>
      <c r="E8" s="186" t="s">
        <v>153</v>
      </c>
      <c r="F8" s="187">
        <v>0</v>
      </c>
      <c r="G8" s="188">
        <v>1</v>
      </c>
      <c r="H8" s="188">
        <v>2</v>
      </c>
      <c r="I8" s="187">
        <v>3</v>
      </c>
      <c r="J8" s="188">
        <v>4</v>
      </c>
      <c r="K8" s="188">
        <v>5</v>
      </c>
      <c r="L8" s="187">
        <v>6</v>
      </c>
      <c r="M8" s="188">
        <v>7</v>
      </c>
      <c r="N8" s="188">
        <v>8</v>
      </c>
      <c r="O8" s="187">
        <v>9</v>
      </c>
      <c r="P8" s="188">
        <v>10</v>
      </c>
      <c r="Q8" s="188">
        <v>11</v>
      </c>
      <c r="R8" s="187">
        <v>12</v>
      </c>
      <c r="S8" s="188">
        <v>13</v>
      </c>
      <c r="T8" s="188">
        <v>14</v>
      </c>
      <c r="U8" s="189">
        <v>15</v>
      </c>
      <c r="Z8">
        <v>7</v>
      </c>
    </row>
    <row r="9" spans="2:26" ht="13.5" customHeight="1">
      <c r="B9" s="1577" t="s">
        <v>154</v>
      </c>
      <c r="C9" s="190"/>
      <c r="D9" s="191">
        <v>6</v>
      </c>
      <c r="E9" s="192">
        <v>0</v>
      </c>
      <c r="F9" s="193">
        <f>ROUND((2*F$8+$E9)*4/3,0)</f>
        <v>0</v>
      </c>
      <c r="G9" s="194">
        <f aca="true" t="shared" si="0" ref="G9:U18">ROUND((2*G$8+$E9)*5/3,0)</f>
        <v>3</v>
      </c>
      <c r="H9" s="194">
        <f t="shared" si="0"/>
        <v>7</v>
      </c>
      <c r="I9" s="195">
        <f t="shared" si="0"/>
        <v>10</v>
      </c>
      <c r="J9" s="194">
        <f t="shared" si="0"/>
        <v>13</v>
      </c>
      <c r="K9" s="194">
        <f t="shared" si="0"/>
        <v>17</v>
      </c>
      <c r="L9" s="195">
        <f t="shared" si="0"/>
        <v>20</v>
      </c>
      <c r="M9" s="194">
        <f t="shared" si="0"/>
        <v>23</v>
      </c>
      <c r="N9" s="194">
        <f t="shared" si="0"/>
        <v>27</v>
      </c>
      <c r="O9" s="195">
        <f t="shared" si="0"/>
        <v>30</v>
      </c>
      <c r="P9" s="194">
        <f t="shared" si="0"/>
        <v>33</v>
      </c>
      <c r="Q9" s="194">
        <f t="shared" si="0"/>
        <v>37</v>
      </c>
      <c r="R9" s="195">
        <f t="shared" si="0"/>
        <v>40</v>
      </c>
      <c r="S9" s="194">
        <f t="shared" si="0"/>
        <v>43</v>
      </c>
      <c r="T9" s="194">
        <f t="shared" si="0"/>
        <v>47</v>
      </c>
      <c r="U9" s="196">
        <f t="shared" si="0"/>
        <v>50</v>
      </c>
      <c r="Z9">
        <v>8</v>
      </c>
    </row>
    <row r="10" spans="2:26" ht="13.5" customHeight="1">
      <c r="B10" s="1577"/>
      <c r="C10" s="197"/>
      <c r="D10" s="198" t="s">
        <v>143</v>
      </c>
      <c r="E10" s="199">
        <v>1</v>
      </c>
      <c r="F10" s="200">
        <f aca="true" t="shared" si="1" ref="F10:F24">ROUND((2*F$8+$E10)*5/3,0)</f>
        <v>2</v>
      </c>
      <c r="G10" s="201">
        <f t="shared" si="0"/>
        <v>5</v>
      </c>
      <c r="H10" s="201">
        <f t="shared" si="0"/>
        <v>8</v>
      </c>
      <c r="I10" s="200">
        <f t="shared" si="0"/>
        <v>12</v>
      </c>
      <c r="J10" s="201">
        <f t="shared" si="0"/>
        <v>15</v>
      </c>
      <c r="K10" s="201">
        <f t="shared" si="0"/>
        <v>18</v>
      </c>
      <c r="L10" s="200">
        <f t="shared" si="0"/>
        <v>22</v>
      </c>
      <c r="M10" s="201">
        <f t="shared" si="0"/>
        <v>25</v>
      </c>
      <c r="N10" s="201">
        <f t="shared" si="0"/>
        <v>28</v>
      </c>
      <c r="O10" s="200">
        <f t="shared" si="0"/>
        <v>32</v>
      </c>
      <c r="P10" s="201">
        <f t="shared" si="0"/>
        <v>35</v>
      </c>
      <c r="Q10" s="201">
        <f t="shared" si="0"/>
        <v>38</v>
      </c>
      <c r="R10" s="200">
        <f t="shared" si="0"/>
        <v>42</v>
      </c>
      <c r="S10" s="201">
        <f t="shared" si="0"/>
        <v>45</v>
      </c>
      <c r="T10" s="201">
        <f t="shared" si="0"/>
        <v>48</v>
      </c>
      <c r="U10" s="200">
        <f t="shared" si="0"/>
        <v>52</v>
      </c>
      <c r="Z10">
        <v>9</v>
      </c>
    </row>
    <row r="11" spans="2:26" ht="13.5" customHeight="1">
      <c r="B11" s="1577"/>
      <c r="C11" s="202"/>
      <c r="D11" s="203">
        <v>5</v>
      </c>
      <c r="E11" s="199">
        <v>2</v>
      </c>
      <c r="F11" s="200">
        <f t="shared" si="1"/>
        <v>3</v>
      </c>
      <c r="G11" s="201">
        <f t="shared" si="0"/>
        <v>7</v>
      </c>
      <c r="H11" s="201">
        <f t="shared" si="0"/>
        <v>10</v>
      </c>
      <c r="I11" s="200">
        <f t="shared" si="0"/>
        <v>13</v>
      </c>
      <c r="J11" s="201">
        <f t="shared" si="0"/>
        <v>17</v>
      </c>
      <c r="K11" s="201">
        <f t="shared" si="0"/>
        <v>20</v>
      </c>
      <c r="L11" s="200">
        <f t="shared" si="0"/>
        <v>23</v>
      </c>
      <c r="M11" s="201">
        <f t="shared" si="0"/>
        <v>27</v>
      </c>
      <c r="N11" s="201">
        <f t="shared" si="0"/>
        <v>30</v>
      </c>
      <c r="O11" s="200">
        <f t="shared" si="0"/>
        <v>33</v>
      </c>
      <c r="P11" s="201">
        <f t="shared" si="0"/>
        <v>37</v>
      </c>
      <c r="Q11" s="201">
        <f t="shared" si="0"/>
        <v>40</v>
      </c>
      <c r="R11" s="200">
        <f t="shared" si="0"/>
        <v>43</v>
      </c>
      <c r="S11" s="201">
        <f t="shared" si="0"/>
        <v>47</v>
      </c>
      <c r="T11" s="201">
        <f t="shared" si="0"/>
        <v>50</v>
      </c>
      <c r="U11" s="200">
        <f t="shared" si="0"/>
        <v>53</v>
      </c>
      <c r="Z11">
        <v>10</v>
      </c>
    </row>
    <row r="12" spans="2:26" ht="13.5" customHeight="1">
      <c r="B12" s="1577"/>
      <c r="C12" s="204"/>
      <c r="D12" s="205" t="s">
        <v>144</v>
      </c>
      <c r="E12" s="192">
        <v>3</v>
      </c>
      <c r="F12" s="200">
        <f t="shared" si="1"/>
        <v>5</v>
      </c>
      <c r="G12" s="201">
        <f t="shared" si="0"/>
        <v>8</v>
      </c>
      <c r="H12" s="201">
        <f t="shared" si="0"/>
        <v>12</v>
      </c>
      <c r="I12" s="200">
        <f t="shared" si="0"/>
        <v>15</v>
      </c>
      <c r="J12" s="201">
        <f t="shared" si="0"/>
        <v>18</v>
      </c>
      <c r="K12" s="201">
        <f t="shared" si="0"/>
        <v>22</v>
      </c>
      <c r="L12" s="200">
        <f t="shared" si="0"/>
        <v>25</v>
      </c>
      <c r="M12" s="201">
        <f t="shared" si="0"/>
        <v>28</v>
      </c>
      <c r="N12" s="201">
        <f t="shared" si="0"/>
        <v>32</v>
      </c>
      <c r="O12" s="200">
        <f t="shared" si="0"/>
        <v>35</v>
      </c>
      <c r="P12" s="201">
        <f t="shared" si="0"/>
        <v>38</v>
      </c>
      <c r="Q12" s="201">
        <f t="shared" si="0"/>
        <v>42</v>
      </c>
      <c r="R12" s="200">
        <f t="shared" si="0"/>
        <v>45</v>
      </c>
      <c r="S12" s="201">
        <f t="shared" si="0"/>
        <v>48</v>
      </c>
      <c r="T12" s="201">
        <f t="shared" si="0"/>
        <v>52</v>
      </c>
      <c r="U12" s="200">
        <f t="shared" si="0"/>
        <v>55</v>
      </c>
      <c r="Z12">
        <v>11</v>
      </c>
    </row>
    <row r="13" spans="2:26" ht="13.5" customHeight="1">
      <c r="B13" s="1577"/>
      <c r="C13" s="202"/>
      <c r="D13" s="203" t="s">
        <v>145</v>
      </c>
      <c r="E13" s="199">
        <v>4</v>
      </c>
      <c r="F13" s="193">
        <f t="shared" si="1"/>
        <v>7</v>
      </c>
      <c r="G13" s="194">
        <f t="shared" si="0"/>
        <v>10</v>
      </c>
      <c r="H13" s="194">
        <f t="shared" si="0"/>
        <v>13</v>
      </c>
      <c r="I13" s="193">
        <f t="shared" si="0"/>
        <v>17</v>
      </c>
      <c r="J13" s="194">
        <f t="shared" si="0"/>
        <v>20</v>
      </c>
      <c r="K13" s="194">
        <f t="shared" si="0"/>
        <v>23</v>
      </c>
      <c r="L13" s="193">
        <f t="shared" si="0"/>
        <v>27</v>
      </c>
      <c r="M13" s="194">
        <f t="shared" si="0"/>
        <v>30</v>
      </c>
      <c r="N13" s="194">
        <f t="shared" si="0"/>
        <v>33</v>
      </c>
      <c r="O13" s="193">
        <f t="shared" si="0"/>
        <v>37</v>
      </c>
      <c r="P13" s="194">
        <f t="shared" si="0"/>
        <v>40</v>
      </c>
      <c r="Q13" s="194">
        <f t="shared" si="0"/>
        <v>43</v>
      </c>
      <c r="R13" s="193">
        <f t="shared" si="0"/>
        <v>47</v>
      </c>
      <c r="S13" s="194">
        <f t="shared" si="0"/>
        <v>50</v>
      </c>
      <c r="T13" s="194">
        <f t="shared" si="0"/>
        <v>53</v>
      </c>
      <c r="U13" s="206">
        <f t="shared" si="0"/>
        <v>57</v>
      </c>
      <c r="Z13">
        <v>12</v>
      </c>
    </row>
    <row r="14" spans="2:26" ht="13.5" customHeight="1">
      <c r="B14" s="1577"/>
      <c r="C14" s="202"/>
      <c r="D14" s="203">
        <v>4</v>
      </c>
      <c r="E14" s="199">
        <v>5</v>
      </c>
      <c r="F14" s="193">
        <f t="shared" si="1"/>
        <v>8</v>
      </c>
      <c r="G14" s="194">
        <f t="shared" si="0"/>
        <v>12</v>
      </c>
      <c r="H14" s="194">
        <f t="shared" si="0"/>
        <v>15</v>
      </c>
      <c r="I14" s="193">
        <f t="shared" si="0"/>
        <v>18</v>
      </c>
      <c r="J14" s="194">
        <f t="shared" si="0"/>
        <v>22</v>
      </c>
      <c r="K14" s="194">
        <f t="shared" si="0"/>
        <v>25</v>
      </c>
      <c r="L14" s="193">
        <f t="shared" si="0"/>
        <v>28</v>
      </c>
      <c r="M14" s="194">
        <f t="shared" si="0"/>
        <v>32</v>
      </c>
      <c r="N14" s="194">
        <f t="shared" si="0"/>
        <v>35</v>
      </c>
      <c r="O14" s="193">
        <f t="shared" si="0"/>
        <v>38</v>
      </c>
      <c r="P14" s="194">
        <f t="shared" si="0"/>
        <v>42</v>
      </c>
      <c r="Q14" s="194">
        <f t="shared" si="0"/>
        <v>45</v>
      </c>
      <c r="R14" s="193">
        <f t="shared" si="0"/>
        <v>48</v>
      </c>
      <c r="S14" s="194">
        <f t="shared" si="0"/>
        <v>52</v>
      </c>
      <c r="T14" s="194">
        <f t="shared" si="0"/>
        <v>55</v>
      </c>
      <c r="U14" s="206">
        <f t="shared" si="0"/>
        <v>58</v>
      </c>
      <c r="Z14">
        <v>13</v>
      </c>
    </row>
    <row r="15" spans="2:26" ht="13.5" customHeight="1">
      <c r="B15" s="1577"/>
      <c r="C15" s="202"/>
      <c r="D15" s="203" t="s">
        <v>146</v>
      </c>
      <c r="E15" s="192">
        <v>6</v>
      </c>
      <c r="F15" s="193">
        <f t="shared" si="1"/>
        <v>10</v>
      </c>
      <c r="G15" s="194">
        <f t="shared" si="0"/>
        <v>13</v>
      </c>
      <c r="H15" s="194">
        <f t="shared" si="0"/>
        <v>17</v>
      </c>
      <c r="I15" s="193">
        <f t="shared" si="0"/>
        <v>20</v>
      </c>
      <c r="J15" s="194">
        <f t="shared" si="0"/>
        <v>23</v>
      </c>
      <c r="K15" s="194">
        <f t="shared" si="0"/>
        <v>27</v>
      </c>
      <c r="L15" s="193">
        <f t="shared" si="0"/>
        <v>30</v>
      </c>
      <c r="M15" s="194">
        <f t="shared" si="0"/>
        <v>33</v>
      </c>
      <c r="N15" s="194">
        <f t="shared" si="0"/>
        <v>37</v>
      </c>
      <c r="O15" s="193">
        <f t="shared" si="0"/>
        <v>40</v>
      </c>
      <c r="P15" s="194">
        <f t="shared" si="0"/>
        <v>43</v>
      </c>
      <c r="Q15" s="194">
        <f t="shared" si="0"/>
        <v>47</v>
      </c>
      <c r="R15" s="193">
        <f t="shared" si="0"/>
        <v>50</v>
      </c>
      <c r="S15" s="194">
        <f t="shared" si="0"/>
        <v>53</v>
      </c>
      <c r="T15" s="194">
        <f t="shared" si="0"/>
        <v>57</v>
      </c>
      <c r="U15" s="206">
        <f t="shared" si="0"/>
        <v>60</v>
      </c>
      <c r="Z15">
        <v>14</v>
      </c>
    </row>
    <row r="16" spans="2:26" ht="13.5" customHeight="1">
      <c r="B16" s="1577"/>
      <c r="C16" s="197"/>
      <c r="D16" s="198" t="s">
        <v>147</v>
      </c>
      <c r="E16" s="199">
        <v>7</v>
      </c>
      <c r="F16" s="200">
        <f t="shared" si="1"/>
        <v>12</v>
      </c>
      <c r="G16" s="201">
        <f t="shared" si="0"/>
        <v>15</v>
      </c>
      <c r="H16" s="201">
        <f t="shared" si="0"/>
        <v>18</v>
      </c>
      <c r="I16" s="200">
        <f t="shared" si="0"/>
        <v>22</v>
      </c>
      <c r="J16" s="201">
        <f t="shared" si="0"/>
        <v>25</v>
      </c>
      <c r="K16" s="201">
        <f t="shared" si="0"/>
        <v>28</v>
      </c>
      <c r="L16" s="200">
        <f t="shared" si="0"/>
        <v>32</v>
      </c>
      <c r="M16" s="201">
        <f t="shared" si="0"/>
        <v>35</v>
      </c>
      <c r="N16" s="201">
        <f t="shared" si="0"/>
        <v>38</v>
      </c>
      <c r="O16" s="200">
        <f t="shared" si="0"/>
        <v>42</v>
      </c>
      <c r="P16" s="201">
        <f t="shared" si="0"/>
        <v>45</v>
      </c>
      <c r="Q16" s="201">
        <f t="shared" si="0"/>
        <v>48</v>
      </c>
      <c r="R16" s="200">
        <f t="shared" si="0"/>
        <v>52</v>
      </c>
      <c r="S16" s="201">
        <f t="shared" si="0"/>
        <v>55</v>
      </c>
      <c r="T16" s="201">
        <f t="shared" si="0"/>
        <v>58</v>
      </c>
      <c r="U16" s="207">
        <f t="shared" si="0"/>
        <v>62</v>
      </c>
      <c r="Z16">
        <v>15</v>
      </c>
    </row>
    <row r="17" spans="2:21" ht="13.5" customHeight="1">
      <c r="B17" s="1577"/>
      <c r="C17" s="202"/>
      <c r="D17" s="203">
        <v>3</v>
      </c>
      <c r="E17" s="199">
        <v>8</v>
      </c>
      <c r="F17" s="200">
        <f t="shared" si="1"/>
        <v>13</v>
      </c>
      <c r="G17" s="201">
        <f t="shared" si="0"/>
        <v>17</v>
      </c>
      <c r="H17" s="201">
        <f t="shared" si="0"/>
        <v>20</v>
      </c>
      <c r="I17" s="200">
        <f t="shared" si="0"/>
        <v>23</v>
      </c>
      <c r="J17" s="201">
        <f t="shared" si="0"/>
        <v>27</v>
      </c>
      <c r="K17" s="201">
        <f t="shared" si="0"/>
        <v>30</v>
      </c>
      <c r="L17" s="200">
        <f t="shared" si="0"/>
        <v>33</v>
      </c>
      <c r="M17" s="201">
        <f t="shared" si="0"/>
        <v>37</v>
      </c>
      <c r="N17" s="201">
        <f t="shared" si="0"/>
        <v>40</v>
      </c>
      <c r="O17" s="200">
        <f t="shared" si="0"/>
        <v>43</v>
      </c>
      <c r="P17" s="201">
        <f t="shared" si="0"/>
        <v>47</v>
      </c>
      <c r="Q17" s="201">
        <f t="shared" si="0"/>
        <v>50</v>
      </c>
      <c r="R17" s="200">
        <f t="shared" si="0"/>
        <v>53</v>
      </c>
      <c r="S17" s="201">
        <f t="shared" si="0"/>
        <v>57</v>
      </c>
      <c r="T17" s="201">
        <f t="shared" si="0"/>
        <v>60</v>
      </c>
      <c r="U17" s="207">
        <f t="shared" si="0"/>
        <v>63</v>
      </c>
    </row>
    <row r="18" spans="2:21" ht="13.5" customHeight="1">
      <c r="B18" s="1577"/>
      <c r="C18" s="204"/>
      <c r="D18" s="205" t="s">
        <v>148</v>
      </c>
      <c r="E18" s="192">
        <v>9</v>
      </c>
      <c r="F18" s="200">
        <f t="shared" si="1"/>
        <v>15</v>
      </c>
      <c r="G18" s="201">
        <f t="shared" si="0"/>
        <v>18</v>
      </c>
      <c r="H18" s="201">
        <f t="shared" si="0"/>
        <v>22</v>
      </c>
      <c r="I18" s="200">
        <f t="shared" si="0"/>
        <v>25</v>
      </c>
      <c r="J18" s="201">
        <f t="shared" si="0"/>
        <v>28</v>
      </c>
      <c r="K18" s="201">
        <f t="shared" si="0"/>
        <v>32</v>
      </c>
      <c r="L18" s="200">
        <f t="shared" si="0"/>
        <v>35</v>
      </c>
      <c r="M18" s="201">
        <f t="shared" si="0"/>
        <v>38</v>
      </c>
      <c r="N18" s="201">
        <f t="shared" si="0"/>
        <v>42</v>
      </c>
      <c r="O18" s="200">
        <f t="shared" si="0"/>
        <v>45</v>
      </c>
      <c r="P18" s="201">
        <f t="shared" si="0"/>
        <v>48</v>
      </c>
      <c r="Q18" s="201">
        <f t="shared" si="0"/>
        <v>52</v>
      </c>
      <c r="R18" s="200">
        <f t="shared" si="0"/>
        <v>55</v>
      </c>
      <c r="S18" s="201">
        <f t="shared" si="0"/>
        <v>58</v>
      </c>
      <c r="T18" s="201">
        <f t="shared" si="0"/>
        <v>62</v>
      </c>
      <c r="U18" s="207">
        <f t="shared" si="0"/>
        <v>65</v>
      </c>
    </row>
    <row r="19" spans="2:21" ht="13.5" customHeight="1">
      <c r="B19" s="1577"/>
      <c r="C19" s="202"/>
      <c r="D19" s="203" t="s">
        <v>149</v>
      </c>
      <c r="E19" s="199">
        <v>10</v>
      </c>
      <c r="F19" s="193">
        <f t="shared" si="1"/>
        <v>17</v>
      </c>
      <c r="G19" s="194">
        <f aca="true" t="shared" si="2" ref="G19:U24">ROUND((2*G$8+$E19)*5/3,0)</f>
        <v>20</v>
      </c>
      <c r="H19" s="194">
        <f t="shared" si="2"/>
        <v>23</v>
      </c>
      <c r="I19" s="193">
        <f t="shared" si="2"/>
        <v>27</v>
      </c>
      <c r="J19" s="194">
        <f t="shared" si="2"/>
        <v>30</v>
      </c>
      <c r="K19" s="194">
        <f t="shared" si="2"/>
        <v>33</v>
      </c>
      <c r="L19" s="193">
        <f t="shared" si="2"/>
        <v>37</v>
      </c>
      <c r="M19" s="194">
        <f t="shared" si="2"/>
        <v>40</v>
      </c>
      <c r="N19" s="194">
        <f t="shared" si="2"/>
        <v>43</v>
      </c>
      <c r="O19" s="193">
        <f t="shared" si="2"/>
        <v>47</v>
      </c>
      <c r="P19" s="194">
        <f t="shared" si="2"/>
        <v>50</v>
      </c>
      <c r="Q19" s="194">
        <f t="shared" si="2"/>
        <v>53</v>
      </c>
      <c r="R19" s="193">
        <f t="shared" si="2"/>
        <v>57</v>
      </c>
      <c r="S19" s="194">
        <f t="shared" si="2"/>
        <v>60</v>
      </c>
      <c r="T19" s="194">
        <f t="shared" si="2"/>
        <v>63</v>
      </c>
      <c r="U19" s="206">
        <f t="shared" si="2"/>
        <v>67</v>
      </c>
    </row>
    <row r="20" spans="2:21" ht="13.5" customHeight="1">
      <c r="B20" s="1577"/>
      <c r="C20" s="202"/>
      <c r="D20" s="203">
        <v>2</v>
      </c>
      <c r="E20" s="199">
        <v>11</v>
      </c>
      <c r="F20" s="193">
        <f t="shared" si="1"/>
        <v>18</v>
      </c>
      <c r="G20" s="194">
        <f t="shared" si="2"/>
        <v>22</v>
      </c>
      <c r="H20" s="194">
        <f t="shared" si="2"/>
        <v>25</v>
      </c>
      <c r="I20" s="193">
        <f t="shared" si="2"/>
        <v>28</v>
      </c>
      <c r="J20" s="194">
        <f t="shared" si="2"/>
        <v>32</v>
      </c>
      <c r="K20" s="194">
        <f t="shared" si="2"/>
        <v>35</v>
      </c>
      <c r="L20" s="193">
        <f t="shared" si="2"/>
        <v>38</v>
      </c>
      <c r="M20" s="194">
        <f t="shared" si="2"/>
        <v>42</v>
      </c>
      <c r="N20" s="194">
        <f t="shared" si="2"/>
        <v>45</v>
      </c>
      <c r="O20" s="193">
        <f t="shared" si="2"/>
        <v>48</v>
      </c>
      <c r="P20" s="194">
        <f t="shared" si="2"/>
        <v>52</v>
      </c>
      <c r="Q20" s="194">
        <f t="shared" si="2"/>
        <v>55</v>
      </c>
      <c r="R20" s="193">
        <f t="shared" si="2"/>
        <v>58</v>
      </c>
      <c r="S20" s="194">
        <f t="shared" si="2"/>
        <v>62</v>
      </c>
      <c r="T20" s="194">
        <f t="shared" si="2"/>
        <v>65</v>
      </c>
      <c r="U20" s="206">
        <f t="shared" si="2"/>
        <v>68</v>
      </c>
    </row>
    <row r="21" spans="2:21" ht="13.5" customHeight="1" thickBot="1">
      <c r="B21" s="1577"/>
      <c r="C21" s="202"/>
      <c r="D21" s="203" t="s">
        <v>150</v>
      </c>
      <c r="E21" s="192">
        <v>12</v>
      </c>
      <c r="F21" s="193">
        <f t="shared" si="1"/>
        <v>20</v>
      </c>
      <c r="G21" s="194">
        <f t="shared" si="2"/>
        <v>23</v>
      </c>
      <c r="H21" s="194">
        <f t="shared" si="2"/>
        <v>27</v>
      </c>
      <c r="I21" s="193">
        <f t="shared" si="2"/>
        <v>30</v>
      </c>
      <c r="J21" s="194">
        <f t="shared" si="2"/>
        <v>33</v>
      </c>
      <c r="K21" s="194">
        <f t="shared" si="2"/>
        <v>37</v>
      </c>
      <c r="L21" s="193">
        <f t="shared" si="2"/>
        <v>40</v>
      </c>
      <c r="M21" s="194">
        <f t="shared" si="2"/>
        <v>43</v>
      </c>
      <c r="N21" s="194">
        <f t="shared" si="2"/>
        <v>47</v>
      </c>
      <c r="O21" s="193">
        <f t="shared" si="2"/>
        <v>50</v>
      </c>
      <c r="P21" s="194">
        <f t="shared" si="2"/>
        <v>53</v>
      </c>
      <c r="Q21" s="194">
        <f t="shared" si="2"/>
        <v>57</v>
      </c>
      <c r="R21" s="193">
        <f t="shared" si="2"/>
        <v>60</v>
      </c>
      <c r="S21" s="194">
        <f t="shared" si="2"/>
        <v>63</v>
      </c>
      <c r="T21" s="194">
        <f t="shared" si="2"/>
        <v>67</v>
      </c>
      <c r="U21" s="206">
        <f t="shared" si="2"/>
        <v>70</v>
      </c>
    </row>
    <row r="22" spans="2:21" ht="13.5" customHeight="1" thickBot="1">
      <c r="B22" s="1577"/>
      <c r="C22" s="197"/>
      <c r="D22" s="198" t="s">
        <v>151</v>
      </c>
      <c r="E22" s="199">
        <v>13</v>
      </c>
      <c r="F22" s="200">
        <f t="shared" si="1"/>
        <v>22</v>
      </c>
      <c r="G22" s="201">
        <f t="shared" si="2"/>
        <v>25</v>
      </c>
      <c r="H22" s="201">
        <f t="shared" si="2"/>
        <v>28</v>
      </c>
      <c r="I22" s="200">
        <f t="shared" si="2"/>
        <v>32</v>
      </c>
      <c r="J22" s="201">
        <f t="shared" si="2"/>
        <v>35</v>
      </c>
      <c r="K22" s="201">
        <f t="shared" si="2"/>
        <v>38</v>
      </c>
      <c r="L22" s="200">
        <f t="shared" si="2"/>
        <v>42</v>
      </c>
      <c r="M22" s="201">
        <f t="shared" si="2"/>
        <v>45</v>
      </c>
      <c r="N22" s="201">
        <f t="shared" si="2"/>
        <v>48</v>
      </c>
      <c r="O22" s="200">
        <f t="shared" si="2"/>
        <v>52</v>
      </c>
      <c r="P22" s="201">
        <f t="shared" si="2"/>
        <v>55</v>
      </c>
      <c r="Q22" s="201">
        <f t="shared" si="2"/>
        <v>58</v>
      </c>
      <c r="R22" s="200">
        <f t="shared" si="2"/>
        <v>62</v>
      </c>
      <c r="S22" s="201">
        <f t="shared" si="2"/>
        <v>65</v>
      </c>
      <c r="T22" s="201">
        <f t="shared" si="2"/>
        <v>68</v>
      </c>
      <c r="U22" s="207">
        <f t="shared" si="2"/>
        <v>72</v>
      </c>
    </row>
    <row r="23" spans="2:21" ht="13.5" customHeight="1" thickBot="1">
      <c r="B23" s="1577"/>
      <c r="C23" s="202"/>
      <c r="D23" s="203">
        <v>1</v>
      </c>
      <c r="E23" s="199">
        <v>14</v>
      </c>
      <c r="F23" s="200">
        <f t="shared" si="1"/>
        <v>23</v>
      </c>
      <c r="G23" s="201">
        <f t="shared" si="2"/>
        <v>27</v>
      </c>
      <c r="H23" s="201">
        <f t="shared" si="2"/>
        <v>30</v>
      </c>
      <c r="I23" s="200">
        <f t="shared" si="2"/>
        <v>33</v>
      </c>
      <c r="J23" s="201">
        <f t="shared" si="2"/>
        <v>37</v>
      </c>
      <c r="K23" s="201">
        <f t="shared" si="2"/>
        <v>40</v>
      </c>
      <c r="L23" s="200">
        <f t="shared" si="2"/>
        <v>43</v>
      </c>
      <c r="M23" s="201">
        <f t="shared" si="2"/>
        <v>47</v>
      </c>
      <c r="N23" s="201">
        <f t="shared" si="2"/>
        <v>50</v>
      </c>
      <c r="O23" s="200">
        <f t="shared" si="2"/>
        <v>53</v>
      </c>
      <c r="P23" s="201">
        <f t="shared" si="2"/>
        <v>57</v>
      </c>
      <c r="Q23" s="201">
        <f t="shared" si="2"/>
        <v>60</v>
      </c>
      <c r="R23" s="200">
        <f t="shared" si="2"/>
        <v>63</v>
      </c>
      <c r="S23" s="201">
        <f t="shared" si="2"/>
        <v>67</v>
      </c>
      <c r="T23" s="201">
        <f t="shared" si="2"/>
        <v>70</v>
      </c>
      <c r="U23" s="207">
        <f t="shared" si="2"/>
        <v>73</v>
      </c>
    </row>
    <row r="24" spans="2:21" ht="13.5" customHeight="1" thickBot="1">
      <c r="B24" s="1577"/>
      <c r="C24" s="208"/>
      <c r="D24" s="209" t="s">
        <v>152</v>
      </c>
      <c r="E24" s="210">
        <v>15</v>
      </c>
      <c r="F24" s="547">
        <f t="shared" si="1"/>
        <v>25</v>
      </c>
      <c r="G24" s="212">
        <f t="shared" si="2"/>
        <v>28</v>
      </c>
      <c r="H24" s="212">
        <f t="shared" si="2"/>
        <v>32</v>
      </c>
      <c r="I24" s="211">
        <f t="shared" si="2"/>
        <v>35</v>
      </c>
      <c r="J24" s="212">
        <f t="shared" si="2"/>
        <v>38</v>
      </c>
      <c r="K24" s="212">
        <f t="shared" si="2"/>
        <v>42</v>
      </c>
      <c r="L24" s="211">
        <f t="shared" si="2"/>
        <v>45</v>
      </c>
      <c r="M24" s="212">
        <f t="shared" si="2"/>
        <v>48</v>
      </c>
      <c r="N24" s="212">
        <f t="shared" si="2"/>
        <v>52</v>
      </c>
      <c r="O24" s="211">
        <f t="shared" si="2"/>
        <v>55</v>
      </c>
      <c r="P24" s="212">
        <f t="shared" si="2"/>
        <v>58</v>
      </c>
      <c r="Q24" s="212">
        <f t="shared" si="2"/>
        <v>62</v>
      </c>
      <c r="R24" s="211">
        <f t="shared" si="2"/>
        <v>65</v>
      </c>
      <c r="S24" s="212">
        <f t="shared" si="2"/>
        <v>68</v>
      </c>
      <c r="T24" s="212">
        <f t="shared" si="2"/>
        <v>72</v>
      </c>
      <c r="U24" s="213">
        <f t="shared" si="2"/>
        <v>75</v>
      </c>
    </row>
    <row r="25" ht="8.25" customHeight="1"/>
    <row r="26" ht="12.75">
      <c r="G26" t="s">
        <v>155</v>
      </c>
    </row>
    <row r="27" spans="12:14" ht="12.75">
      <c r="L27" s="44"/>
      <c r="N27" s="44"/>
    </row>
    <row r="28" spans="7:18" ht="12.75">
      <c r="G28" t="s">
        <v>156</v>
      </c>
      <c r="L28" s="214">
        <v>8</v>
      </c>
      <c r="M28" s="94" t="s">
        <v>157</v>
      </c>
      <c r="N28" s="215">
        <f>L28*5</f>
        <v>40</v>
      </c>
      <c r="O28" s="216"/>
      <c r="Q28" s="216"/>
      <c r="R28" s="216"/>
    </row>
    <row r="29" spans="7:14" ht="12.75" customHeight="1">
      <c r="G29" t="s">
        <v>158</v>
      </c>
      <c r="L29" s="214">
        <v>9</v>
      </c>
      <c r="N29" s="1578" t="str">
        <f>CHAR(242)</f>
        <v>ò</v>
      </c>
    </row>
    <row r="30" spans="12:14" ht="9" customHeight="1">
      <c r="L30" s="44"/>
      <c r="N30" s="1578"/>
    </row>
    <row r="31" spans="7:15" ht="15">
      <c r="G31" t="s">
        <v>159</v>
      </c>
      <c r="L31" s="217">
        <f>IF(OR(L28="",L29=""),"",ROUND((2*L28+L29)/3*5,0))</f>
        <v>42</v>
      </c>
      <c r="M31" s="218" t="str">
        <f>CHAR(240)</f>
        <v>ð</v>
      </c>
      <c r="N31" s="73">
        <f>IF(L31="","",L31-N28)</f>
        <v>2</v>
      </c>
      <c r="O31" s="46" t="str">
        <f>IF(N31="","",IF(N31&gt;0,"Verbesserung durch die mü. Prüfung um "&amp;ABS(N31)&amp;" Punkt(e)",IF(N31=0,"weder verbessert noch verschlechtert","Verschlechterung durch die mü. Prüfung um "&amp;ABS(N31)&amp;" Punkt(e)")))</f>
        <v>Verbesserung durch die mü. Prüfung um 2 Punkt(e)</v>
      </c>
    </row>
  </sheetData>
  <sheetProtection password="81D9" sheet="1"/>
  <mergeCells count="7">
    <mergeCell ref="B9:B24"/>
    <mergeCell ref="N29:N30"/>
    <mergeCell ref="B2:T2"/>
    <mergeCell ref="B3:U3"/>
    <mergeCell ref="F6:U6"/>
    <mergeCell ref="C8:D8"/>
    <mergeCell ref="B6:D7"/>
  </mergeCells>
  <conditionalFormatting sqref="G8:U8">
    <cfRule type="expression" priority="1" dxfId="1" stopIfTrue="1">
      <formula>$L$28=G$8</formula>
    </cfRule>
  </conditionalFormatting>
  <conditionalFormatting sqref="E9:E24">
    <cfRule type="expression" priority="2" dxfId="0" stopIfTrue="1">
      <formula>AND($L$29&lt;&gt;"",$L$29=$E9)</formula>
    </cfRule>
  </conditionalFormatting>
  <conditionalFormatting sqref="F8">
    <cfRule type="expression" priority="3" dxfId="1" stopIfTrue="1">
      <formula>AND($L$28&lt;&gt;"",$L$28=F$8)</formula>
    </cfRule>
  </conditionalFormatting>
  <conditionalFormatting sqref="F9:U24">
    <cfRule type="expression" priority="4" dxfId="8" stopIfTrue="1">
      <formula>AND($L$28&lt;&gt;"",$L$29&lt;&gt;"",$L$28=F$8,$L$29=$E9)</formula>
    </cfRule>
    <cfRule type="expression" priority="5" dxfId="1" stopIfTrue="1">
      <formula>AND($L$28&lt;&gt;"",$L$28=F$8)</formula>
    </cfRule>
    <cfRule type="expression" priority="6" dxfId="0" stopIfTrue="1">
      <formula>AND($L$29&lt;&gt;"",$L$29=$E9)</formula>
    </cfRule>
  </conditionalFormatting>
  <dataValidations count="1">
    <dataValidation type="whole" allowBlank="1" showInputMessage="1" showErrorMessage="1" sqref="L28:L29">
      <formula1>0</formula1>
      <formula2>15</formula2>
    </dataValidation>
  </dataValidations>
  <printOptions/>
  <pageMargins left="0.7479166666666667" right="0.7479166666666667" top="0.9840277777777777" bottom="0.9840277777777777" header="0.5118055555555555" footer="0.5118055555555555"/>
  <pageSetup horizontalDpi="300" verticalDpi="300" orientation="landscape" paperSize="9" r:id="rId2"/>
  <drawing r:id="rId1"/>
</worksheet>
</file>

<file path=xl/worksheets/sheet9.xml><?xml version="1.0" encoding="utf-8"?>
<worksheet xmlns="http://schemas.openxmlformats.org/spreadsheetml/2006/main" xmlns:r="http://schemas.openxmlformats.org/officeDocument/2006/relationships">
  <dimension ref="B2:U31"/>
  <sheetViews>
    <sheetView showGridLines="0" showRowColHeaders="0" zoomScalePageLayoutView="0" workbookViewId="0" topLeftCell="A1">
      <selection activeCell="L28" sqref="L28"/>
    </sheetView>
  </sheetViews>
  <sheetFormatPr defaultColWidth="11.421875" defaultRowHeight="12.75"/>
  <cols>
    <col min="1" max="1" width="10.421875" style="0" customWidth="1"/>
    <col min="2" max="2" width="3.7109375" style="0" customWidth="1"/>
    <col min="3" max="3" width="1.7109375" style="0" customWidth="1"/>
    <col min="4" max="4" width="4.421875" style="0" customWidth="1"/>
    <col min="5" max="5" width="6.140625" style="0" customWidth="1"/>
    <col min="6" max="21" width="5.7109375" style="0" customWidth="1"/>
  </cols>
  <sheetData>
    <row r="1" ht="10.5" customHeight="1"/>
    <row r="2" spans="2:21" ht="28.5" customHeight="1" thickBot="1">
      <c r="B2" s="1579" t="str">
        <f>'Schr+mü_Prfg'!B2:T2</f>
        <v>Gymnasium an der Gartenstraße</v>
      </c>
      <c r="C2" s="1579"/>
      <c r="D2" s="1579"/>
      <c r="E2" s="1579"/>
      <c r="F2" s="1579"/>
      <c r="G2" s="1579"/>
      <c r="H2" s="1579"/>
      <c r="I2" s="1579"/>
      <c r="J2" s="1579"/>
      <c r="K2" s="1579"/>
      <c r="L2" s="1579"/>
      <c r="M2" s="1579"/>
      <c r="N2" s="1579"/>
      <c r="O2" s="1579"/>
      <c r="P2" s="1579"/>
      <c r="Q2" s="1579"/>
      <c r="R2" s="1579"/>
      <c r="S2" s="1579"/>
      <c r="T2" s="1579"/>
      <c r="U2" s="138" t="s">
        <v>1</v>
      </c>
    </row>
    <row r="3" spans="2:21" ht="24" customHeight="1">
      <c r="B3" s="1580" t="s">
        <v>520</v>
      </c>
      <c r="C3" s="1580"/>
      <c r="D3" s="1580"/>
      <c r="E3" s="1580"/>
      <c r="F3" s="1580"/>
      <c r="G3" s="1580"/>
      <c r="H3" s="1580"/>
      <c r="I3" s="1580"/>
      <c r="J3" s="1580"/>
      <c r="K3" s="1580"/>
      <c r="L3" s="1580"/>
      <c r="M3" s="1580"/>
      <c r="N3" s="1580"/>
      <c r="O3" s="1580"/>
      <c r="P3" s="1580"/>
      <c r="Q3" s="1580"/>
      <c r="R3" s="1580"/>
      <c r="S3" s="1580"/>
      <c r="T3" s="1580"/>
      <c r="U3" s="1580"/>
    </row>
    <row r="4" spans="8:21" ht="16.5" customHeight="1">
      <c r="H4" s="177" t="s">
        <v>346</v>
      </c>
      <c r="U4" s="486" t="s">
        <v>348</v>
      </c>
    </row>
    <row r="5" ht="6.75" customHeight="1" thickBot="1"/>
    <row r="6" spans="2:21" ht="15" customHeight="1" thickBot="1">
      <c r="B6" s="1583"/>
      <c r="C6" s="1584"/>
      <c r="D6" s="1584"/>
      <c r="E6" s="178"/>
      <c r="F6" s="1587" t="s">
        <v>141</v>
      </c>
      <c r="G6" s="1587"/>
      <c r="H6" s="1587"/>
      <c r="I6" s="1587"/>
      <c r="J6" s="1587"/>
      <c r="K6" s="1587"/>
      <c r="L6" s="1587"/>
      <c r="M6" s="1587"/>
      <c r="N6" s="1587"/>
      <c r="O6" s="1587"/>
      <c r="P6" s="1587"/>
      <c r="Q6" s="1587"/>
      <c r="R6" s="1587"/>
      <c r="S6" s="1587"/>
      <c r="T6" s="1587"/>
      <c r="U6" s="1587"/>
    </row>
    <row r="7" spans="2:21" ht="15" customHeight="1">
      <c r="B7" s="1585"/>
      <c r="C7" s="1586"/>
      <c r="D7" s="1586"/>
      <c r="E7" s="179" t="s">
        <v>142</v>
      </c>
      <c r="F7" s="467">
        <v>6</v>
      </c>
      <c r="G7" s="468" t="s">
        <v>143</v>
      </c>
      <c r="H7" s="469">
        <v>5</v>
      </c>
      <c r="I7" s="470" t="s">
        <v>144</v>
      </c>
      <c r="J7" s="469" t="s">
        <v>145</v>
      </c>
      <c r="K7" s="469">
        <v>4</v>
      </c>
      <c r="L7" s="470" t="s">
        <v>146</v>
      </c>
      <c r="M7" s="469" t="s">
        <v>147</v>
      </c>
      <c r="N7" s="469">
        <v>3</v>
      </c>
      <c r="O7" s="470" t="s">
        <v>148</v>
      </c>
      <c r="P7" s="469" t="s">
        <v>149</v>
      </c>
      <c r="Q7" s="469">
        <v>2</v>
      </c>
      <c r="R7" s="470" t="s">
        <v>150</v>
      </c>
      <c r="S7" s="469" t="s">
        <v>151</v>
      </c>
      <c r="T7" s="469">
        <v>1</v>
      </c>
      <c r="U7" s="471" t="s">
        <v>152</v>
      </c>
    </row>
    <row r="8" spans="2:21" ht="15" customHeight="1" thickBot="1">
      <c r="B8" s="185"/>
      <c r="C8" s="1582" t="s">
        <v>142</v>
      </c>
      <c r="D8" s="1582"/>
      <c r="E8" s="186" t="s">
        <v>153</v>
      </c>
      <c r="F8" s="472">
        <v>0</v>
      </c>
      <c r="G8" s="473">
        <v>1</v>
      </c>
      <c r="H8" s="473">
        <v>2</v>
      </c>
      <c r="I8" s="472">
        <v>3</v>
      </c>
      <c r="J8" s="473">
        <v>4</v>
      </c>
      <c r="K8" s="473">
        <v>5</v>
      </c>
      <c r="L8" s="472">
        <v>6</v>
      </c>
      <c r="M8" s="473">
        <v>7</v>
      </c>
      <c r="N8" s="473">
        <v>8</v>
      </c>
      <c r="O8" s="472">
        <v>9</v>
      </c>
      <c r="P8" s="473">
        <v>10</v>
      </c>
      <c r="Q8" s="473">
        <v>11</v>
      </c>
      <c r="R8" s="472">
        <v>12</v>
      </c>
      <c r="S8" s="473">
        <v>13</v>
      </c>
      <c r="T8" s="473">
        <v>14</v>
      </c>
      <c r="U8" s="474">
        <v>15</v>
      </c>
    </row>
    <row r="9" spans="2:21" ht="13.5" customHeight="1" thickBot="1">
      <c r="B9" s="1577" t="s">
        <v>154</v>
      </c>
      <c r="C9" s="190"/>
      <c r="D9" s="191">
        <v>6</v>
      </c>
      <c r="E9" s="192">
        <v>0</v>
      </c>
      <c r="F9" s="475">
        <f aca="true" t="shared" si="0" ref="F9:U18">ROUND((2*F$8+$E9)*4/3,0)</f>
        <v>0</v>
      </c>
      <c r="G9" s="476">
        <f t="shared" si="0"/>
        <v>3</v>
      </c>
      <c r="H9" s="476">
        <f t="shared" si="0"/>
        <v>5</v>
      </c>
      <c r="I9" s="475">
        <f t="shared" si="0"/>
        <v>8</v>
      </c>
      <c r="J9" s="476">
        <f t="shared" si="0"/>
        <v>11</v>
      </c>
      <c r="K9" s="476">
        <f t="shared" si="0"/>
        <v>13</v>
      </c>
      <c r="L9" s="475">
        <f t="shared" si="0"/>
        <v>16</v>
      </c>
      <c r="M9" s="476">
        <f t="shared" si="0"/>
        <v>19</v>
      </c>
      <c r="N9" s="476">
        <f t="shared" si="0"/>
        <v>21</v>
      </c>
      <c r="O9" s="475">
        <f t="shared" si="0"/>
        <v>24</v>
      </c>
      <c r="P9" s="476">
        <f t="shared" si="0"/>
        <v>27</v>
      </c>
      <c r="Q9" s="476">
        <f t="shared" si="0"/>
        <v>29</v>
      </c>
      <c r="R9" s="475">
        <f t="shared" si="0"/>
        <v>32</v>
      </c>
      <c r="S9" s="476">
        <f t="shared" si="0"/>
        <v>35</v>
      </c>
      <c r="T9" s="476">
        <f t="shared" si="0"/>
        <v>37</v>
      </c>
      <c r="U9" s="477">
        <f t="shared" si="0"/>
        <v>40</v>
      </c>
    </row>
    <row r="10" spans="2:21" ht="13.5" customHeight="1" thickBot="1">
      <c r="B10" s="1577"/>
      <c r="C10" s="197"/>
      <c r="D10" s="198" t="s">
        <v>143</v>
      </c>
      <c r="E10" s="199">
        <v>1</v>
      </c>
      <c r="F10" s="478">
        <f t="shared" si="0"/>
        <v>1</v>
      </c>
      <c r="G10" s="479">
        <f t="shared" si="0"/>
        <v>4</v>
      </c>
      <c r="H10" s="479">
        <f t="shared" si="0"/>
        <v>7</v>
      </c>
      <c r="I10" s="478">
        <f t="shared" si="0"/>
        <v>9</v>
      </c>
      <c r="J10" s="479">
        <f t="shared" si="0"/>
        <v>12</v>
      </c>
      <c r="K10" s="479">
        <f t="shared" si="0"/>
        <v>15</v>
      </c>
      <c r="L10" s="478">
        <f t="shared" si="0"/>
        <v>17</v>
      </c>
      <c r="M10" s="479">
        <f t="shared" si="0"/>
        <v>20</v>
      </c>
      <c r="N10" s="479">
        <f t="shared" si="0"/>
        <v>23</v>
      </c>
      <c r="O10" s="478">
        <f t="shared" si="0"/>
        <v>25</v>
      </c>
      <c r="P10" s="479">
        <f t="shared" si="0"/>
        <v>28</v>
      </c>
      <c r="Q10" s="479">
        <f t="shared" si="0"/>
        <v>31</v>
      </c>
      <c r="R10" s="478">
        <f t="shared" si="0"/>
        <v>33</v>
      </c>
      <c r="S10" s="479">
        <f t="shared" si="0"/>
        <v>36</v>
      </c>
      <c r="T10" s="479">
        <f t="shared" si="0"/>
        <v>39</v>
      </c>
      <c r="U10" s="480">
        <f t="shared" si="0"/>
        <v>41</v>
      </c>
    </row>
    <row r="11" spans="2:21" ht="13.5" customHeight="1" thickBot="1">
      <c r="B11" s="1577"/>
      <c r="C11" s="202"/>
      <c r="D11" s="203">
        <v>5</v>
      </c>
      <c r="E11" s="199">
        <v>2</v>
      </c>
      <c r="F11" s="478">
        <f t="shared" si="0"/>
        <v>3</v>
      </c>
      <c r="G11" s="479">
        <f t="shared" si="0"/>
        <v>5</v>
      </c>
      <c r="H11" s="479">
        <f t="shared" si="0"/>
        <v>8</v>
      </c>
      <c r="I11" s="478">
        <f t="shared" si="0"/>
        <v>11</v>
      </c>
      <c r="J11" s="479">
        <f t="shared" si="0"/>
        <v>13</v>
      </c>
      <c r="K11" s="479">
        <f t="shared" si="0"/>
        <v>16</v>
      </c>
      <c r="L11" s="478">
        <f t="shared" si="0"/>
        <v>19</v>
      </c>
      <c r="M11" s="479">
        <f t="shared" si="0"/>
        <v>21</v>
      </c>
      <c r="N11" s="479">
        <f t="shared" si="0"/>
        <v>24</v>
      </c>
      <c r="O11" s="478">
        <f t="shared" si="0"/>
        <v>27</v>
      </c>
      <c r="P11" s="479">
        <f t="shared" si="0"/>
        <v>29</v>
      </c>
      <c r="Q11" s="479">
        <f t="shared" si="0"/>
        <v>32</v>
      </c>
      <c r="R11" s="478">
        <f t="shared" si="0"/>
        <v>35</v>
      </c>
      <c r="S11" s="479">
        <f t="shared" si="0"/>
        <v>37</v>
      </c>
      <c r="T11" s="479">
        <f t="shared" si="0"/>
        <v>40</v>
      </c>
      <c r="U11" s="480">
        <f t="shared" si="0"/>
        <v>43</v>
      </c>
    </row>
    <row r="12" spans="2:21" ht="13.5" customHeight="1" thickBot="1">
      <c r="B12" s="1577"/>
      <c r="C12" s="204"/>
      <c r="D12" s="205" t="s">
        <v>144</v>
      </c>
      <c r="E12" s="192">
        <v>3</v>
      </c>
      <c r="F12" s="478">
        <f t="shared" si="0"/>
        <v>4</v>
      </c>
      <c r="G12" s="479">
        <f t="shared" si="0"/>
        <v>7</v>
      </c>
      <c r="H12" s="479">
        <f t="shared" si="0"/>
        <v>9</v>
      </c>
      <c r="I12" s="478">
        <f t="shared" si="0"/>
        <v>12</v>
      </c>
      <c r="J12" s="479">
        <f t="shared" si="0"/>
        <v>15</v>
      </c>
      <c r="K12" s="479">
        <f t="shared" si="0"/>
        <v>17</v>
      </c>
      <c r="L12" s="478">
        <f t="shared" si="0"/>
        <v>20</v>
      </c>
      <c r="M12" s="479">
        <f t="shared" si="0"/>
        <v>23</v>
      </c>
      <c r="N12" s="479">
        <f t="shared" si="0"/>
        <v>25</v>
      </c>
      <c r="O12" s="478">
        <f t="shared" si="0"/>
        <v>28</v>
      </c>
      <c r="P12" s="479">
        <f t="shared" si="0"/>
        <v>31</v>
      </c>
      <c r="Q12" s="479">
        <f t="shared" si="0"/>
        <v>33</v>
      </c>
      <c r="R12" s="478">
        <f t="shared" si="0"/>
        <v>36</v>
      </c>
      <c r="S12" s="479">
        <f t="shared" si="0"/>
        <v>39</v>
      </c>
      <c r="T12" s="479">
        <f t="shared" si="0"/>
        <v>41</v>
      </c>
      <c r="U12" s="480">
        <f t="shared" si="0"/>
        <v>44</v>
      </c>
    </row>
    <row r="13" spans="2:21" ht="13.5" customHeight="1" thickBot="1">
      <c r="B13" s="1577"/>
      <c r="C13" s="202"/>
      <c r="D13" s="203" t="s">
        <v>145</v>
      </c>
      <c r="E13" s="199">
        <v>4</v>
      </c>
      <c r="F13" s="475">
        <f t="shared" si="0"/>
        <v>5</v>
      </c>
      <c r="G13" s="476">
        <f t="shared" si="0"/>
        <v>8</v>
      </c>
      <c r="H13" s="476">
        <f t="shared" si="0"/>
        <v>11</v>
      </c>
      <c r="I13" s="475">
        <f t="shared" si="0"/>
        <v>13</v>
      </c>
      <c r="J13" s="476">
        <f t="shared" si="0"/>
        <v>16</v>
      </c>
      <c r="K13" s="476">
        <f t="shared" si="0"/>
        <v>19</v>
      </c>
      <c r="L13" s="475">
        <f t="shared" si="0"/>
        <v>21</v>
      </c>
      <c r="M13" s="476">
        <f t="shared" si="0"/>
        <v>24</v>
      </c>
      <c r="N13" s="476">
        <f t="shared" si="0"/>
        <v>27</v>
      </c>
      <c r="O13" s="475">
        <f t="shared" si="0"/>
        <v>29</v>
      </c>
      <c r="P13" s="476">
        <f t="shared" si="0"/>
        <v>32</v>
      </c>
      <c r="Q13" s="476">
        <f t="shared" si="0"/>
        <v>35</v>
      </c>
      <c r="R13" s="475">
        <f t="shared" si="0"/>
        <v>37</v>
      </c>
      <c r="S13" s="476">
        <f t="shared" si="0"/>
        <v>40</v>
      </c>
      <c r="T13" s="476">
        <f t="shared" si="0"/>
        <v>43</v>
      </c>
      <c r="U13" s="477">
        <f t="shared" si="0"/>
        <v>45</v>
      </c>
    </row>
    <row r="14" spans="2:21" ht="13.5" customHeight="1" thickBot="1">
      <c r="B14" s="1577"/>
      <c r="C14" s="202"/>
      <c r="D14" s="203">
        <v>4</v>
      </c>
      <c r="E14" s="199">
        <v>5</v>
      </c>
      <c r="F14" s="475">
        <f t="shared" si="0"/>
        <v>7</v>
      </c>
      <c r="G14" s="476">
        <f t="shared" si="0"/>
        <v>9</v>
      </c>
      <c r="H14" s="476">
        <f t="shared" si="0"/>
        <v>12</v>
      </c>
      <c r="I14" s="475">
        <f t="shared" si="0"/>
        <v>15</v>
      </c>
      <c r="J14" s="476">
        <f t="shared" si="0"/>
        <v>17</v>
      </c>
      <c r="K14" s="476">
        <f t="shared" si="0"/>
        <v>20</v>
      </c>
      <c r="L14" s="475">
        <f t="shared" si="0"/>
        <v>23</v>
      </c>
      <c r="M14" s="476">
        <f t="shared" si="0"/>
        <v>25</v>
      </c>
      <c r="N14" s="476">
        <f t="shared" si="0"/>
        <v>28</v>
      </c>
      <c r="O14" s="475">
        <f t="shared" si="0"/>
        <v>31</v>
      </c>
      <c r="P14" s="476">
        <f t="shared" si="0"/>
        <v>33</v>
      </c>
      <c r="Q14" s="476">
        <f t="shared" si="0"/>
        <v>36</v>
      </c>
      <c r="R14" s="475">
        <f t="shared" si="0"/>
        <v>39</v>
      </c>
      <c r="S14" s="476">
        <f t="shared" si="0"/>
        <v>41</v>
      </c>
      <c r="T14" s="476">
        <f t="shared" si="0"/>
        <v>44</v>
      </c>
      <c r="U14" s="477">
        <f t="shared" si="0"/>
        <v>47</v>
      </c>
    </row>
    <row r="15" spans="2:21" ht="13.5" customHeight="1" thickBot="1">
      <c r="B15" s="1577"/>
      <c r="C15" s="202"/>
      <c r="D15" s="203" t="s">
        <v>146</v>
      </c>
      <c r="E15" s="192">
        <v>6</v>
      </c>
      <c r="F15" s="475">
        <f t="shared" si="0"/>
        <v>8</v>
      </c>
      <c r="G15" s="476">
        <f t="shared" si="0"/>
        <v>11</v>
      </c>
      <c r="H15" s="476">
        <f t="shared" si="0"/>
        <v>13</v>
      </c>
      <c r="I15" s="475">
        <f t="shared" si="0"/>
        <v>16</v>
      </c>
      <c r="J15" s="476">
        <f t="shared" si="0"/>
        <v>19</v>
      </c>
      <c r="K15" s="476">
        <f t="shared" si="0"/>
        <v>21</v>
      </c>
      <c r="L15" s="475">
        <f t="shared" si="0"/>
        <v>24</v>
      </c>
      <c r="M15" s="476">
        <f t="shared" si="0"/>
        <v>27</v>
      </c>
      <c r="N15" s="476">
        <f t="shared" si="0"/>
        <v>29</v>
      </c>
      <c r="O15" s="475">
        <f t="shared" si="0"/>
        <v>32</v>
      </c>
      <c r="P15" s="476">
        <f t="shared" si="0"/>
        <v>35</v>
      </c>
      <c r="Q15" s="476">
        <f t="shared" si="0"/>
        <v>37</v>
      </c>
      <c r="R15" s="475">
        <f t="shared" si="0"/>
        <v>40</v>
      </c>
      <c r="S15" s="476">
        <f t="shared" si="0"/>
        <v>43</v>
      </c>
      <c r="T15" s="476">
        <f t="shared" si="0"/>
        <v>45</v>
      </c>
      <c r="U15" s="477">
        <f t="shared" si="0"/>
        <v>48</v>
      </c>
    </row>
    <row r="16" spans="2:21" ht="13.5" customHeight="1" thickBot="1">
      <c r="B16" s="1577"/>
      <c r="C16" s="197"/>
      <c r="D16" s="198" t="s">
        <v>147</v>
      </c>
      <c r="E16" s="199">
        <v>7</v>
      </c>
      <c r="F16" s="478">
        <f t="shared" si="0"/>
        <v>9</v>
      </c>
      <c r="G16" s="479">
        <f t="shared" si="0"/>
        <v>12</v>
      </c>
      <c r="H16" s="479">
        <f t="shared" si="0"/>
        <v>15</v>
      </c>
      <c r="I16" s="478">
        <f t="shared" si="0"/>
        <v>17</v>
      </c>
      <c r="J16" s="479">
        <f t="shared" si="0"/>
        <v>20</v>
      </c>
      <c r="K16" s="479">
        <f t="shared" si="0"/>
        <v>23</v>
      </c>
      <c r="L16" s="478">
        <f t="shared" si="0"/>
        <v>25</v>
      </c>
      <c r="M16" s="479">
        <f t="shared" si="0"/>
        <v>28</v>
      </c>
      <c r="N16" s="479">
        <f t="shared" si="0"/>
        <v>31</v>
      </c>
      <c r="O16" s="478">
        <f t="shared" si="0"/>
        <v>33</v>
      </c>
      <c r="P16" s="479">
        <f t="shared" si="0"/>
        <v>36</v>
      </c>
      <c r="Q16" s="479">
        <f t="shared" si="0"/>
        <v>39</v>
      </c>
      <c r="R16" s="478">
        <f t="shared" si="0"/>
        <v>41</v>
      </c>
      <c r="S16" s="479">
        <f t="shared" si="0"/>
        <v>44</v>
      </c>
      <c r="T16" s="479">
        <f t="shared" si="0"/>
        <v>47</v>
      </c>
      <c r="U16" s="480">
        <f t="shared" si="0"/>
        <v>49</v>
      </c>
    </row>
    <row r="17" spans="2:21" ht="13.5" customHeight="1" thickBot="1">
      <c r="B17" s="1577"/>
      <c r="C17" s="202"/>
      <c r="D17" s="203">
        <v>3</v>
      </c>
      <c r="E17" s="199">
        <v>8</v>
      </c>
      <c r="F17" s="478">
        <f t="shared" si="0"/>
        <v>11</v>
      </c>
      <c r="G17" s="479">
        <f t="shared" si="0"/>
        <v>13</v>
      </c>
      <c r="H17" s="479">
        <f t="shared" si="0"/>
        <v>16</v>
      </c>
      <c r="I17" s="478">
        <f t="shared" si="0"/>
        <v>19</v>
      </c>
      <c r="J17" s="479">
        <f t="shared" si="0"/>
        <v>21</v>
      </c>
      <c r="K17" s="479">
        <f t="shared" si="0"/>
        <v>24</v>
      </c>
      <c r="L17" s="478">
        <f t="shared" si="0"/>
        <v>27</v>
      </c>
      <c r="M17" s="479">
        <f t="shared" si="0"/>
        <v>29</v>
      </c>
      <c r="N17" s="479">
        <f t="shared" si="0"/>
        <v>32</v>
      </c>
      <c r="O17" s="478">
        <f t="shared" si="0"/>
        <v>35</v>
      </c>
      <c r="P17" s="479">
        <f t="shared" si="0"/>
        <v>37</v>
      </c>
      <c r="Q17" s="479">
        <f t="shared" si="0"/>
        <v>40</v>
      </c>
      <c r="R17" s="478">
        <f t="shared" si="0"/>
        <v>43</v>
      </c>
      <c r="S17" s="479">
        <f t="shared" si="0"/>
        <v>45</v>
      </c>
      <c r="T17" s="479">
        <f t="shared" si="0"/>
        <v>48</v>
      </c>
      <c r="U17" s="480">
        <f t="shared" si="0"/>
        <v>51</v>
      </c>
    </row>
    <row r="18" spans="2:21" ht="13.5" customHeight="1" thickBot="1">
      <c r="B18" s="1577"/>
      <c r="C18" s="204"/>
      <c r="D18" s="205" t="s">
        <v>148</v>
      </c>
      <c r="E18" s="192">
        <v>9</v>
      </c>
      <c r="F18" s="478">
        <f t="shared" si="0"/>
        <v>12</v>
      </c>
      <c r="G18" s="479">
        <f t="shared" si="0"/>
        <v>15</v>
      </c>
      <c r="H18" s="479">
        <f t="shared" si="0"/>
        <v>17</v>
      </c>
      <c r="I18" s="478">
        <f t="shared" si="0"/>
        <v>20</v>
      </c>
      <c r="J18" s="479">
        <f t="shared" si="0"/>
        <v>23</v>
      </c>
      <c r="K18" s="479">
        <f t="shared" si="0"/>
        <v>25</v>
      </c>
      <c r="L18" s="478">
        <f t="shared" si="0"/>
        <v>28</v>
      </c>
      <c r="M18" s="479">
        <f t="shared" si="0"/>
        <v>31</v>
      </c>
      <c r="N18" s="479">
        <f t="shared" si="0"/>
        <v>33</v>
      </c>
      <c r="O18" s="478">
        <f t="shared" si="0"/>
        <v>36</v>
      </c>
      <c r="P18" s="479">
        <f t="shared" si="0"/>
        <v>39</v>
      </c>
      <c r="Q18" s="479">
        <f t="shared" si="0"/>
        <v>41</v>
      </c>
      <c r="R18" s="478">
        <f t="shared" si="0"/>
        <v>44</v>
      </c>
      <c r="S18" s="479">
        <f t="shared" si="0"/>
        <v>47</v>
      </c>
      <c r="T18" s="479">
        <f t="shared" si="0"/>
        <v>49</v>
      </c>
      <c r="U18" s="480">
        <f t="shared" si="0"/>
        <v>52</v>
      </c>
    </row>
    <row r="19" spans="2:21" ht="13.5" customHeight="1" thickBot="1">
      <c r="B19" s="1577"/>
      <c r="C19" s="202"/>
      <c r="D19" s="203" t="s">
        <v>149</v>
      </c>
      <c r="E19" s="199">
        <v>10</v>
      </c>
      <c r="F19" s="475">
        <f aca="true" t="shared" si="1" ref="F19:U24">ROUND((2*F$8+$E19)*4/3,0)</f>
        <v>13</v>
      </c>
      <c r="G19" s="476">
        <f t="shared" si="1"/>
        <v>16</v>
      </c>
      <c r="H19" s="476">
        <f t="shared" si="1"/>
        <v>19</v>
      </c>
      <c r="I19" s="475">
        <f t="shared" si="1"/>
        <v>21</v>
      </c>
      <c r="J19" s="476">
        <f t="shared" si="1"/>
        <v>24</v>
      </c>
      <c r="K19" s="476">
        <f t="shared" si="1"/>
        <v>27</v>
      </c>
      <c r="L19" s="475">
        <f t="shared" si="1"/>
        <v>29</v>
      </c>
      <c r="M19" s="476">
        <f t="shared" si="1"/>
        <v>32</v>
      </c>
      <c r="N19" s="476">
        <f t="shared" si="1"/>
        <v>35</v>
      </c>
      <c r="O19" s="475">
        <f t="shared" si="1"/>
        <v>37</v>
      </c>
      <c r="P19" s="476">
        <f t="shared" si="1"/>
        <v>40</v>
      </c>
      <c r="Q19" s="476">
        <f t="shared" si="1"/>
        <v>43</v>
      </c>
      <c r="R19" s="475">
        <f t="shared" si="1"/>
        <v>45</v>
      </c>
      <c r="S19" s="476">
        <f t="shared" si="1"/>
        <v>48</v>
      </c>
      <c r="T19" s="476">
        <f t="shared" si="1"/>
        <v>51</v>
      </c>
      <c r="U19" s="477">
        <f t="shared" si="1"/>
        <v>53</v>
      </c>
    </row>
    <row r="20" spans="2:21" ht="13.5" customHeight="1" thickBot="1">
      <c r="B20" s="1577"/>
      <c r="C20" s="202"/>
      <c r="D20" s="203">
        <v>2</v>
      </c>
      <c r="E20" s="199">
        <v>11</v>
      </c>
      <c r="F20" s="475">
        <f t="shared" si="1"/>
        <v>15</v>
      </c>
      <c r="G20" s="476">
        <f t="shared" si="1"/>
        <v>17</v>
      </c>
      <c r="H20" s="476">
        <f t="shared" si="1"/>
        <v>20</v>
      </c>
      <c r="I20" s="475">
        <f t="shared" si="1"/>
        <v>23</v>
      </c>
      <c r="J20" s="476">
        <f t="shared" si="1"/>
        <v>25</v>
      </c>
      <c r="K20" s="476">
        <f t="shared" si="1"/>
        <v>28</v>
      </c>
      <c r="L20" s="475">
        <f t="shared" si="1"/>
        <v>31</v>
      </c>
      <c r="M20" s="476">
        <f t="shared" si="1"/>
        <v>33</v>
      </c>
      <c r="N20" s="476">
        <f t="shared" si="1"/>
        <v>36</v>
      </c>
      <c r="O20" s="475">
        <f t="shared" si="1"/>
        <v>39</v>
      </c>
      <c r="P20" s="476">
        <f t="shared" si="1"/>
        <v>41</v>
      </c>
      <c r="Q20" s="476">
        <f t="shared" si="1"/>
        <v>44</v>
      </c>
      <c r="R20" s="475">
        <f t="shared" si="1"/>
        <v>47</v>
      </c>
      <c r="S20" s="476">
        <f t="shared" si="1"/>
        <v>49</v>
      </c>
      <c r="T20" s="476">
        <f t="shared" si="1"/>
        <v>52</v>
      </c>
      <c r="U20" s="477">
        <f t="shared" si="1"/>
        <v>55</v>
      </c>
    </row>
    <row r="21" spans="2:21" ht="13.5" customHeight="1" thickBot="1">
      <c r="B21" s="1577"/>
      <c r="C21" s="202"/>
      <c r="D21" s="203" t="s">
        <v>150</v>
      </c>
      <c r="E21" s="192">
        <v>12</v>
      </c>
      <c r="F21" s="475">
        <f t="shared" si="1"/>
        <v>16</v>
      </c>
      <c r="G21" s="476">
        <f t="shared" si="1"/>
        <v>19</v>
      </c>
      <c r="H21" s="476">
        <f t="shared" si="1"/>
        <v>21</v>
      </c>
      <c r="I21" s="475">
        <f t="shared" si="1"/>
        <v>24</v>
      </c>
      <c r="J21" s="476">
        <f t="shared" si="1"/>
        <v>27</v>
      </c>
      <c r="K21" s="476">
        <f t="shared" si="1"/>
        <v>29</v>
      </c>
      <c r="L21" s="475">
        <f t="shared" si="1"/>
        <v>32</v>
      </c>
      <c r="M21" s="476">
        <f t="shared" si="1"/>
        <v>35</v>
      </c>
      <c r="N21" s="476">
        <f t="shared" si="1"/>
        <v>37</v>
      </c>
      <c r="O21" s="475">
        <f t="shared" si="1"/>
        <v>40</v>
      </c>
      <c r="P21" s="476">
        <f t="shared" si="1"/>
        <v>43</v>
      </c>
      <c r="Q21" s="476">
        <f t="shared" si="1"/>
        <v>45</v>
      </c>
      <c r="R21" s="475">
        <f t="shared" si="1"/>
        <v>48</v>
      </c>
      <c r="S21" s="476">
        <f t="shared" si="1"/>
        <v>51</v>
      </c>
      <c r="T21" s="476">
        <f t="shared" si="1"/>
        <v>53</v>
      </c>
      <c r="U21" s="477">
        <f t="shared" si="1"/>
        <v>56</v>
      </c>
    </row>
    <row r="22" spans="2:21" ht="13.5" customHeight="1" thickBot="1">
      <c r="B22" s="1577"/>
      <c r="C22" s="197"/>
      <c r="D22" s="198" t="s">
        <v>151</v>
      </c>
      <c r="E22" s="199">
        <v>13</v>
      </c>
      <c r="F22" s="478">
        <f t="shared" si="1"/>
        <v>17</v>
      </c>
      <c r="G22" s="479">
        <f t="shared" si="1"/>
        <v>20</v>
      </c>
      <c r="H22" s="479">
        <f t="shared" si="1"/>
        <v>23</v>
      </c>
      <c r="I22" s="478">
        <f t="shared" si="1"/>
        <v>25</v>
      </c>
      <c r="J22" s="479">
        <f t="shared" si="1"/>
        <v>28</v>
      </c>
      <c r="K22" s="479">
        <f t="shared" si="1"/>
        <v>31</v>
      </c>
      <c r="L22" s="478">
        <f t="shared" si="1"/>
        <v>33</v>
      </c>
      <c r="M22" s="479">
        <f t="shared" si="1"/>
        <v>36</v>
      </c>
      <c r="N22" s="479">
        <f t="shared" si="1"/>
        <v>39</v>
      </c>
      <c r="O22" s="478">
        <f t="shared" si="1"/>
        <v>41</v>
      </c>
      <c r="P22" s="479">
        <f t="shared" si="1"/>
        <v>44</v>
      </c>
      <c r="Q22" s="479">
        <f t="shared" si="1"/>
        <v>47</v>
      </c>
      <c r="R22" s="478">
        <f t="shared" si="1"/>
        <v>49</v>
      </c>
      <c r="S22" s="479">
        <f t="shared" si="1"/>
        <v>52</v>
      </c>
      <c r="T22" s="479">
        <f t="shared" si="1"/>
        <v>55</v>
      </c>
      <c r="U22" s="480">
        <f t="shared" si="1"/>
        <v>57</v>
      </c>
    </row>
    <row r="23" spans="2:21" ht="13.5" customHeight="1" thickBot="1">
      <c r="B23" s="1577"/>
      <c r="C23" s="202"/>
      <c r="D23" s="203">
        <v>1</v>
      </c>
      <c r="E23" s="199">
        <v>14</v>
      </c>
      <c r="F23" s="478">
        <f t="shared" si="1"/>
        <v>19</v>
      </c>
      <c r="G23" s="479">
        <f t="shared" si="1"/>
        <v>21</v>
      </c>
      <c r="H23" s="479">
        <f t="shared" si="1"/>
        <v>24</v>
      </c>
      <c r="I23" s="478">
        <f t="shared" si="1"/>
        <v>27</v>
      </c>
      <c r="J23" s="479">
        <f t="shared" si="1"/>
        <v>29</v>
      </c>
      <c r="K23" s="479">
        <f t="shared" si="1"/>
        <v>32</v>
      </c>
      <c r="L23" s="478">
        <f t="shared" si="1"/>
        <v>35</v>
      </c>
      <c r="M23" s="479">
        <f t="shared" si="1"/>
        <v>37</v>
      </c>
      <c r="N23" s="479">
        <f t="shared" si="1"/>
        <v>40</v>
      </c>
      <c r="O23" s="478">
        <f t="shared" si="1"/>
        <v>43</v>
      </c>
      <c r="P23" s="479">
        <f t="shared" si="1"/>
        <v>45</v>
      </c>
      <c r="Q23" s="479">
        <f t="shared" si="1"/>
        <v>48</v>
      </c>
      <c r="R23" s="478">
        <f t="shared" si="1"/>
        <v>51</v>
      </c>
      <c r="S23" s="479">
        <f t="shared" si="1"/>
        <v>53</v>
      </c>
      <c r="T23" s="479">
        <f t="shared" si="1"/>
        <v>56</v>
      </c>
      <c r="U23" s="480">
        <f t="shared" si="1"/>
        <v>59</v>
      </c>
    </row>
    <row r="24" spans="2:21" ht="13.5" customHeight="1" thickBot="1">
      <c r="B24" s="1577"/>
      <c r="C24" s="208"/>
      <c r="D24" s="209" t="s">
        <v>152</v>
      </c>
      <c r="E24" s="210">
        <v>15</v>
      </c>
      <c r="F24" s="481">
        <f t="shared" si="1"/>
        <v>20</v>
      </c>
      <c r="G24" s="482">
        <f t="shared" si="1"/>
        <v>23</v>
      </c>
      <c r="H24" s="482">
        <f t="shared" si="1"/>
        <v>25</v>
      </c>
      <c r="I24" s="481">
        <f t="shared" si="1"/>
        <v>28</v>
      </c>
      <c r="J24" s="482">
        <f t="shared" si="1"/>
        <v>31</v>
      </c>
      <c r="K24" s="482">
        <f t="shared" si="1"/>
        <v>33</v>
      </c>
      <c r="L24" s="481">
        <f t="shared" si="1"/>
        <v>36</v>
      </c>
      <c r="M24" s="482">
        <f t="shared" si="1"/>
        <v>39</v>
      </c>
      <c r="N24" s="482">
        <f t="shared" si="1"/>
        <v>41</v>
      </c>
      <c r="O24" s="481">
        <f t="shared" si="1"/>
        <v>44</v>
      </c>
      <c r="P24" s="482">
        <f t="shared" si="1"/>
        <v>47</v>
      </c>
      <c r="Q24" s="482">
        <f t="shared" si="1"/>
        <v>49</v>
      </c>
      <c r="R24" s="481">
        <f t="shared" si="1"/>
        <v>52</v>
      </c>
      <c r="S24" s="482">
        <f t="shared" si="1"/>
        <v>55</v>
      </c>
      <c r="T24" s="482">
        <f t="shared" si="1"/>
        <v>57</v>
      </c>
      <c r="U24" s="483">
        <f t="shared" si="1"/>
        <v>60</v>
      </c>
    </row>
    <row r="25" ht="8.25" customHeight="1"/>
    <row r="26" ht="12.75">
      <c r="G26" t="s">
        <v>155</v>
      </c>
    </row>
    <row r="27" spans="12:14" ht="12.75">
      <c r="L27" s="44"/>
      <c r="N27" s="44"/>
    </row>
    <row r="28" spans="7:18" ht="12.75">
      <c r="G28" t="s">
        <v>156</v>
      </c>
      <c r="L28" s="484">
        <v>7</v>
      </c>
      <c r="M28" s="94" t="s">
        <v>347</v>
      </c>
      <c r="N28" s="215">
        <f>L28*4</f>
        <v>28</v>
      </c>
      <c r="O28" s="216"/>
      <c r="Q28" s="216"/>
      <c r="R28" s="216"/>
    </row>
    <row r="29" spans="7:14" ht="12.75" customHeight="1">
      <c r="G29" t="s">
        <v>158</v>
      </c>
      <c r="L29" s="484">
        <v>9</v>
      </c>
      <c r="N29" s="1578" t="str">
        <f>CHAR(242)</f>
        <v>ò</v>
      </c>
    </row>
    <row r="30" spans="12:14" ht="9" customHeight="1">
      <c r="L30" s="44"/>
      <c r="N30" s="1578"/>
    </row>
    <row r="31" spans="7:15" ht="15">
      <c r="G31" t="s">
        <v>159</v>
      </c>
      <c r="L31" s="485">
        <f>IF(OR(L28="",L29=""),"",ROUND((2*L28+L29)/3*4,0))</f>
        <v>31</v>
      </c>
      <c r="M31" s="218" t="str">
        <f>CHAR(240)</f>
        <v>ð</v>
      </c>
      <c r="N31" s="73">
        <f>IF(L31="","",L31-N28)</f>
        <v>3</v>
      </c>
      <c r="O31" s="46" t="str">
        <f>IF(N31="","",IF(N31&gt;0,"Verbesserung durch die mü. Prüfung um "&amp;ABS(N31)&amp;" Punkte","Verschlechterung durch die mü. Prüfung um "&amp;ABS(N31)&amp;" Punkte"))</f>
        <v>Verbesserung durch die mü. Prüfung um 3 Punkte</v>
      </c>
    </row>
  </sheetData>
  <sheetProtection password="81D9" sheet="1"/>
  <mergeCells count="7">
    <mergeCell ref="B9:B24"/>
    <mergeCell ref="N29:N30"/>
    <mergeCell ref="B6:D7"/>
    <mergeCell ref="B2:T2"/>
    <mergeCell ref="B3:U3"/>
    <mergeCell ref="F6:U6"/>
    <mergeCell ref="C8:D8"/>
  </mergeCells>
  <conditionalFormatting sqref="G8:U8">
    <cfRule type="expression" priority="1" dxfId="1" stopIfTrue="1">
      <formula>$L$28=G$8</formula>
    </cfRule>
  </conditionalFormatting>
  <conditionalFormatting sqref="E9:E24">
    <cfRule type="expression" priority="2" dxfId="0" stopIfTrue="1">
      <formula>AND($L$29&lt;&gt;"",$L$29=$E9)</formula>
    </cfRule>
  </conditionalFormatting>
  <conditionalFormatting sqref="F8">
    <cfRule type="expression" priority="3" dxfId="1" stopIfTrue="1">
      <formula>AND($L$28&lt;&gt;"",$L$28=F$8)</formula>
    </cfRule>
  </conditionalFormatting>
  <conditionalFormatting sqref="F9:U24">
    <cfRule type="expression" priority="4" dxfId="2" stopIfTrue="1">
      <formula>AND($L$28&lt;&gt;"",$L$29&lt;&gt;"",$L$28=F$8,$L$29=$E9)</formula>
    </cfRule>
    <cfRule type="expression" priority="5" dxfId="1" stopIfTrue="1">
      <formula>AND($L$28&lt;&gt;"",$L$28=F$8)</formula>
    </cfRule>
    <cfRule type="expression" priority="6" dxfId="0" stopIfTrue="1">
      <formula>AND($L$29&lt;&gt;"",$L$29=$E9)</formula>
    </cfRule>
  </conditionalFormatting>
  <dataValidations count="1">
    <dataValidation type="whole" allowBlank="1" showInputMessage="1" showErrorMessage="1" sqref="L28">
      <formula1>0</formula1>
      <formula2>15</formula2>
    </dataValidation>
  </dataValidations>
  <printOptions/>
  <pageMargins left="0.7479166666666667" right="0.7479166666666667" top="0.9840277777777777" bottom="0.9840277777777777" header="0.5118055555555555" footer="0.511805555555555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weltersf</dc:creator>
  <cp:keywords/>
  <dc:description/>
  <cp:lastModifiedBy>Windows-Benutzer</cp:lastModifiedBy>
  <cp:lastPrinted>2014-04-28T16:20:06Z</cp:lastPrinted>
  <dcterms:created xsi:type="dcterms:W3CDTF">2011-09-29T20:45:16Z</dcterms:created>
  <dcterms:modified xsi:type="dcterms:W3CDTF">2017-09-21T06:17:04Z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